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lisadecap-my.sharepoint.com/personal/bgoldman_palcap_com/Documents/Documents/maplewoodstock/2025 Budget/"/>
    </mc:Choice>
  </mc:AlternateContent>
  <xr:revisionPtr revIDLastSave="933" documentId="8_{4781721E-0A48-43DA-B415-772A1638C32E}" xr6:coauthVersionLast="47" xr6:coauthVersionMax="47" xr10:uidLastSave="{7308D5C7-1F46-4F42-9BEC-52D5E7A4AD66}"/>
  <bookViews>
    <workbookView xWindow="28680" yWindow="-120" windowWidth="29040" windowHeight="15840" xr2:uid="{7AC0CAD8-5844-49C1-9417-600CAC68AB47}"/>
  </bookViews>
  <sheets>
    <sheet name="FINAL 2024" sheetId="4" r:id="rId1"/>
  </sheets>
  <definedNames>
    <definedName name="_xlnm.Print_Area" localSheetId="0">'FINAL 2024'!$A$1:$S$97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1" i="4" l="1"/>
  <c r="S81" i="4"/>
  <c r="P78" i="4" s="1"/>
  <c r="P79" i="4"/>
  <c r="P31" i="4"/>
  <c r="P25" i="4"/>
  <c r="P13" i="4"/>
  <c r="P3" i="4"/>
  <c r="W11" i="4"/>
  <c r="W10" i="4"/>
  <c r="V11" i="4"/>
  <c r="V10" i="4"/>
  <c r="U17" i="4"/>
  <c r="U19" i="4"/>
  <c r="O72" i="4"/>
  <c r="O75" i="4" s="1"/>
  <c r="O94" i="4"/>
  <c r="O82" i="4"/>
  <c r="O56" i="4"/>
  <c r="O43" i="4"/>
  <c r="O38" i="4"/>
  <c r="O29" i="4"/>
  <c r="O28" i="4"/>
  <c r="O17" i="4"/>
  <c r="O25" i="4" s="1"/>
  <c r="O15" i="4"/>
  <c r="M78" i="4"/>
  <c r="U10" i="4"/>
  <c r="U11" i="4" s="1"/>
  <c r="M41" i="4"/>
  <c r="M74" i="4"/>
  <c r="M64" i="4"/>
  <c r="M85" i="4"/>
  <c r="M14" i="4"/>
  <c r="M28" i="4"/>
  <c r="M23" i="4"/>
  <c r="M42" i="4"/>
  <c r="O31" i="4" l="1"/>
  <c r="O46" i="4"/>
  <c r="O48" i="4" s="1"/>
  <c r="O93" i="4" s="1"/>
  <c r="O97" i="4" s="1"/>
  <c r="M80" i="4"/>
  <c r="M53" i="4"/>
  <c r="M66" i="4"/>
  <c r="M65" i="4"/>
  <c r="M13" i="4"/>
  <c r="M15" i="4" s="1"/>
  <c r="M36" i="4"/>
  <c r="M37" i="4" s="1"/>
  <c r="M56" i="4" l="1"/>
  <c r="M61" i="4" l="1"/>
  <c r="M75" i="4" s="1"/>
  <c r="L21" i="4"/>
  <c r="M20" i="4"/>
  <c r="M17" i="4"/>
  <c r="M25" i="4" s="1"/>
  <c r="M3" i="4" l="1"/>
  <c r="L79" i="4"/>
  <c r="M43" i="4"/>
  <c r="M31" i="4"/>
  <c r="L61" i="4"/>
  <c r="L75" i="4" s="1"/>
  <c r="L56" i="4"/>
  <c r="L47" i="4"/>
  <c r="L43" i="4"/>
  <c r="L31" i="4"/>
  <c r="L23" i="4"/>
  <c r="L25" i="4" s="1"/>
  <c r="L13" i="4"/>
  <c r="L15" i="4" s="1"/>
  <c r="J47" i="4"/>
  <c r="J61" i="4"/>
  <c r="J75" i="4" s="1"/>
  <c r="J21" i="4"/>
  <c r="J23" i="4"/>
  <c r="J56" i="4"/>
  <c r="J43" i="4"/>
  <c r="J31" i="4"/>
  <c r="J13" i="4"/>
  <c r="J15" i="4" s="1"/>
  <c r="I23" i="4"/>
  <c r="I17" i="4"/>
  <c r="I56" i="4"/>
  <c r="I61" i="4"/>
  <c r="I75" i="4" s="1"/>
  <c r="I43" i="4"/>
  <c r="I31" i="4"/>
  <c r="I13" i="4"/>
  <c r="I15" i="4" s="1"/>
  <c r="F3" i="4"/>
  <c r="F78" i="4"/>
  <c r="G82" i="4" s="1"/>
  <c r="D75" i="4"/>
  <c r="C78" i="4"/>
  <c r="D82" i="4" s="1"/>
  <c r="D56" i="4"/>
  <c r="D43" i="4"/>
  <c r="D38" i="4"/>
  <c r="D31" i="4"/>
  <c r="C13" i="4"/>
  <c r="D15" i="4" s="1"/>
  <c r="F30" i="4"/>
  <c r="G43" i="4"/>
  <c r="G75" i="4"/>
  <c r="G56" i="4"/>
  <c r="J3" i="4" l="1"/>
  <c r="L3" i="4"/>
  <c r="J25" i="4"/>
  <c r="J46" i="4" s="1"/>
  <c r="J48" i="4" s="1"/>
  <c r="L46" i="4"/>
  <c r="L48" i="4" s="1"/>
  <c r="I78" i="4"/>
  <c r="I82" i="4" s="1"/>
  <c r="I91" i="4" s="1"/>
  <c r="L78" i="4"/>
  <c r="L82" i="4" s="1"/>
  <c r="L91" i="4" s="1"/>
  <c r="M46" i="4"/>
  <c r="M48" i="4" s="1"/>
  <c r="J78" i="4"/>
  <c r="J82" i="4" s="1"/>
  <c r="J91" i="4" s="1"/>
  <c r="I25" i="4"/>
  <c r="I46" i="4" s="1"/>
  <c r="I48" i="4" s="1"/>
  <c r="D91" i="4"/>
  <c r="D46" i="4"/>
  <c r="F13" i="4"/>
  <c r="G15" i="4" s="1"/>
  <c r="G91" i="4"/>
  <c r="L93" i="4" l="1"/>
  <c r="M82" i="4"/>
  <c r="M91" i="4" s="1"/>
  <c r="M93" i="4" s="1"/>
  <c r="M97" i="4" s="1"/>
  <c r="J93" i="4"/>
  <c r="I93" i="4"/>
  <c r="G31" i="4"/>
  <c r="D93" i="4"/>
  <c r="G38" i="4"/>
  <c r="G46" i="4" l="1"/>
  <c r="G93" i="4" s="1"/>
</calcChain>
</file>

<file path=xl/sharedStrings.xml><?xml version="1.0" encoding="utf-8"?>
<sst xmlns="http://schemas.openxmlformats.org/spreadsheetml/2006/main" count="129" uniqueCount="125">
  <si>
    <t>Hotel</t>
  </si>
  <si>
    <t>Sales</t>
  </si>
  <si>
    <t>Banners</t>
  </si>
  <si>
    <t>Print</t>
  </si>
  <si>
    <t>Website</t>
  </si>
  <si>
    <t>Sponsors</t>
  </si>
  <si>
    <t>Art Vendors</t>
  </si>
  <si>
    <t>Food Vendors</t>
  </si>
  <si>
    <t>Band Application</t>
  </si>
  <si>
    <t>Donations</t>
  </si>
  <si>
    <t>Musical Performers:</t>
  </si>
  <si>
    <t xml:space="preserve"> </t>
  </si>
  <si>
    <t>Liability Insurance</t>
  </si>
  <si>
    <t>Local Acts</t>
  </si>
  <si>
    <t>ABC Permit</t>
  </si>
  <si>
    <t>Township Services:</t>
  </si>
  <si>
    <t>TOTAL CASH INFLOWS</t>
  </si>
  <si>
    <t>TOTAL CASH OUTFLOWS</t>
  </si>
  <si>
    <t>Application Fees:</t>
  </si>
  <si>
    <t>Ad/sponsor Revenue:</t>
  </si>
  <si>
    <t>Beer Garden</t>
  </si>
  <si>
    <t>Meetings/Administrative Costs:</t>
  </si>
  <si>
    <t>CASH OUTFLOWS</t>
  </si>
  <si>
    <t>Paypal/Bank Fees</t>
  </si>
  <si>
    <t>Headliners</t>
  </si>
  <si>
    <t>Meetings</t>
  </si>
  <si>
    <t>Beer Garden:</t>
  </si>
  <si>
    <t>Cost of Sales</t>
  </si>
  <si>
    <t>Merchandise:</t>
  </si>
  <si>
    <t>Event Day</t>
  </si>
  <si>
    <t>Port-O-Johns</t>
  </si>
  <si>
    <t>Total Adv/Sponsor Revenue</t>
  </si>
  <si>
    <t>Cash Balance</t>
  </si>
  <si>
    <t>Current Bank/PayPal Balance</t>
  </si>
  <si>
    <t>Actual</t>
  </si>
  <si>
    <t>Estimated</t>
  </si>
  <si>
    <t>EMS - SORS Donation</t>
  </si>
  <si>
    <t>as of 10/10/23</t>
  </si>
  <si>
    <t>Cash on Hand last year</t>
  </si>
  <si>
    <t>TOTAL CASH</t>
  </si>
  <si>
    <t>Accounts Receivable</t>
  </si>
  <si>
    <t>2024 (May 15, 2024)</t>
  </si>
  <si>
    <t>Quickbooks Checking/Savings</t>
  </si>
  <si>
    <t>Less: Cost of Raffle</t>
  </si>
  <si>
    <t>Canopy Raffle/Set Up Charge</t>
  </si>
  <si>
    <t>Less: Cost of Inventory</t>
  </si>
  <si>
    <t>Beverage Sales</t>
  </si>
  <si>
    <t>Raffle Permit</t>
  </si>
  <si>
    <t>Interest Income</t>
  </si>
  <si>
    <t>Estimated 2024</t>
  </si>
  <si>
    <t>(June 12, 2024)</t>
  </si>
  <si>
    <t xml:space="preserve"> (June ***, 2024)</t>
  </si>
  <si>
    <t>Ultimate Experience Auction</t>
  </si>
  <si>
    <t>Website Hosting/IT Costs</t>
  </si>
  <si>
    <t>Sales (1/2)</t>
  </si>
  <si>
    <t>Art Auction Revenue</t>
  </si>
  <si>
    <t>Security/Police</t>
  </si>
  <si>
    <t>Special 20th Anniversary Donation</t>
  </si>
  <si>
    <t>2024 NET CASH INFLOW/(OUTFLOW)</t>
  </si>
  <si>
    <t>2024 Maplewoodstock Revenue:</t>
  </si>
  <si>
    <t>$25,141.25 total sales</t>
  </si>
  <si>
    <t>Travel</t>
  </si>
  <si>
    <t>Organization Expenses</t>
  </si>
  <si>
    <t>Quickbooks Expense</t>
  </si>
  <si>
    <t>Equipment Purchases</t>
  </si>
  <si>
    <t>Admin Expenses</t>
  </si>
  <si>
    <t>Special Item</t>
  </si>
  <si>
    <t>Dept of Public Works</t>
  </si>
  <si>
    <t>Food &amp; Green Room</t>
  </si>
  <si>
    <t>Unsold Inventory: 42 women's, 25 unisex, 28 kids</t>
  </si>
  <si>
    <t>Donated to MAEP per Auction Announcement</t>
  </si>
  <si>
    <t>Volunteer Shirts</t>
  </si>
  <si>
    <t>Less: Cost of Program &amp; Banner Printing</t>
  </si>
  <si>
    <t>2024 Maplewoodstock-Only P/L at end of festival (excludes MAEP Donations)</t>
  </si>
  <si>
    <t>Festival Signage (non-stage/vendor)</t>
  </si>
  <si>
    <t>Production Costs (exc. stage banners)</t>
  </si>
  <si>
    <t>Garden Savings MAEP X6460</t>
  </si>
  <si>
    <t>Garden Savings Maplewoodstock Checking X6470</t>
  </si>
  <si>
    <t>Garden Savings Maplewoodstock Savings X8230</t>
  </si>
  <si>
    <t>Garden Savings Gaming</t>
  </si>
  <si>
    <t>Paypal MAEP</t>
  </si>
  <si>
    <t>Paypal Beer Garden</t>
  </si>
  <si>
    <t>Paypal Maplewoodstock Sales</t>
  </si>
  <si>
    <t>GiveButter/Stripe</t>
  </si>
  <si>
    <t>Kid  Zone:</t>
  </si>
  <si>
    <t>Cost of Sales &amp; Other Expenses (1/2)</t>
  </si>
  <si>
    <t>As of 9/25/2024</t>
  </si>
  <si>
    <t>FORECAST TOTAL MSTOCK CASH ON HAND</t>
  </si>
  <si>
    <t>Canopy Supplies</t>
  </si>
  <si>
    <t>Includes Backstage &amp; Volunteer Water/Drinks</t>
  </si>
  <si>
    <t>$2500 for inflatables plus $450 for sand/art tents inc. above (note: charge more for art tents as they had 10x30)</t>
  </si>
  <si>
    <t>Represents 50% of actual cost</t>
  </si>
  <si>
    <t>Includes allocation for Beer Garden Expense</t>
  </si>
  <si>
    <t>Legal filings for MAEP</t>
  </si>
  <si>
    <t>Includes canopy website and new MAEP Website</t>
  </si>
  <si>
    <t>PCI Compliance, Chamber of Commerce Membership, Office Supplies, Postage</t>
  </si>
  <si>
    <t>Coolers, storage buckets, check binder, Zettle Terminals</t>
  </si>
  <si>
    <t>Paid annually; could allocate some to MAEP</t>
  </si>
  <si>
    <t>Remember Jones: $4500</t>
  </si>
  <si>
    <t>Donato: $13000</t>
  </si>
  <si>
    <t>Nation Beat: $3000</t>
  </si>
  <si>
    <t>Tia Holt: $500</t>
  </si>
  <si>
    <t>Howie (fee): $1300</t>
  </si>
  <si>
    <t>Budget</t>
  </si>
  <si>
    <t>Auction</t>
  </si>
  <si>
    <t>50*$100 each</t>
  </si>
  <si>
    <t>77*$50 each</t>
  </si>
  <si>
    <t xml:space="preserve">Consider Raffle instead - 4 or 5 winners instead of 3? </t>
  </si>
  <si>
    <t>Storage Unit</t>
  </si>
  <si>
    <t>U-Haul Truck Rental</t>
  </si>
  <si>
    <t>Ferris Wheel $26k + Permits</t>
  </si>
  <si>
    <t>Drone Show: $23-35k</t>
  </si>
  <si>
    <t>Hot air balloon: $12000</t>
  </si>
  <si>
    <t>doesn't include MAEP or Special Dance</t>
  </si>
  <si>
    <t>Crowdfunding Fundraiser (GiveButter)</t>
  </si>
  <si>
    <t>Actual 2025</t>
  </si>
  <si>
    <t>Ozomatli</t>
  </si>
  <si>
    <t>Couch</t>
  </si>
  <si>
    <t>Big Takeover</t>
  </si>
  <si>
    <t>Headliner Total</t>
  </si>
  <si>
    <t>As of 4/10/2025</t>
  </si>
  <si>
    <t>Howie (Booking)</t>
  </si>
  <si>
    <t>Long Hall</t>
  </si>
  <si>
    <t>Accessiblity Zone Donation</t>
  </si>
  <si>
    <t>Includes Mayfest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</si>
</sst>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_);[Red]\(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1">
    <xf numFmtId="0" fontId="0" fillId="0" borderId="0" xfId="0"/>
    <xf numFmtId="40" fontId="0" fillId="0" borderId="0" xfId="0" applyNumberFormat="1"/>
    <xf numFmtId="40" fontId="0" fillId="0" borderId="0" xfId="0" applyNumberFormat="1" applyAlignment="1">
      <alignment horizontal="right"/>
    </xf>
    <xf numFmtId="40" fontId="0" fillId="0" borderId="0" xfId="0" applyNumberFormat="1" applyAlignment="1">
      <alignment horizontal="left"/>
    </xf>
    <xf numFmtId="40" fontId="1" fillId="0" borderId="0" xfId="0" applyNumberFormat="1" applyFont="1"/>
    <xf numFmtId="40" fontId="0" fillId="0" borderId="1" xfId="0" applyNumberFormat="1" applyBorder="1"/>
    <xf numFmtId="40" fontId="1" fillId="0" borderId="2" xfId="0" applyNumberFormat="1" applyFont="1" applyBorder="1"/>
    <xf numFmtId="40" fontId="1" fillId="0" borderId="3" xfId="0" applyNumberFormat="1" applyFont="1" applyBorder="1"/>
    <xf numFmtId="40" fontId="1" fillId="0" borderId="0" xfId="0" applyNumberFormat="1" applyFont="1" applyAlignment="1">
      <alignment horizontal="right"/>
    </xf>
    <xf numFmtId="40" fontId="0" fillId="0" borderId="0" xfId="0" quotePrefix="1" applyNumberFormat="1" applyAlignment="1">
      <alignment horizontal="right"/>
    </xf>
    <xf numFmtId="40" fontId="1" fillId="0" borderId="0" xfId="0" quotePrefix="1" applyNumberFormat="1" applyFont="1" applyAlignment="1">
      <alignment horizontal="right"/>
    </xf>
    <xf numFmtId="40" fontId="0" fillId="0" borderId="1" xfId="0" quotePrefix="1" applyNumberFormat="1" applyBorder="1" applyAlignment="1">
      <alignment horizontal="right"/>
    </xf>
    <xf numFmtId="40" fontId="1" fillId="0" borderId="0" xfId="0" applyNumberFormat="1" applyFont="1" applyAlignment="1">
      <alignment horizontal="left"/>
    </xf>
    <xf numFmtId="40" fontId="1" fillId="0" borderId="0" xfId="0" quotePrefix="1" applyNumberFormat="1" applyFont="1" applyAlignment="1">
      <alignment horizontal="left"/>
    </xf>
    <xf numFmtId="40" fontId="2" fillId="0" borderId="0" xfId="0" applyNumberFormat="1" applyFont="1" applyAlignment="1">
      <alignment horizontal="left"/>
    </xf>
    <xf numFmtId="40" fontId="2" fillId="0" borderId="0" xfId="0" applyNumberFormat="1" applyFont="1"/>
    <xf numFmtId="40" fontId="0" fillId="0" borderId="4" xfId="0" applyNumberFormat="1" applyBorder="1"/>
    <xf numFmtId="40" fontId="3" fillId="0" borderId="0" xfId="0" applyNumberFormat="1" applyFont="1"/>
    <xf numFmtId="40" fontId="2" fillId="0" borderId="0" xfId="0" applyNumberFormat="1" applyFont="1" applyAlignment="1">
      <alignment horizontal="right"/>
    </xf>
    <xf numFmtId="40" fontId="1" fillId="0" borderId="5" xfId="0" applyNumberFormat="1" applyFont="1" applyBorder="1" applyAlignment="1">
      <alignment horizontal="center"/>
    </xf>
    <xf numFmtId="40" fontId="1" fillId="0" borderId="0" xfId="0" applyNumberFormat="1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40" fontId="0" fillId="0" borderId="5" xfId="0" applyNumberFormat="1" applyBorder="1" applyAlignment="1">
      <alignment horizontal="right"/>
    </xf>
    <xf numFmtId="40" fontId="0" fillId="0" borderId="0" xfId="0" quotePrefix="1" applyNumberFormat="1"/>
    <xf numFmtId="40" fontId="1" fillId="0" borderId="0" xfId="0" quotePrefix="1" applyNumberFormat="1" applyFont="1"/>
    <xf numFmtId="40" fontId="0" fillId="0" borderId="3" xfId="0" applyNumberFormat="1" applyBorder="1"/>
    <xf numFmtId="40" fontId="0" fillId="0" borderId="5" xfId="0" applyNumberFormat="1" applyBorder="1"/>
    <xf numFmtId="40" fontId="4" fillId="0" borderId="0" xfId="0" applyNumberFormat="1" applyFont="1"/>
    <xf numFmtId="40" fontId="4" fillId="0" borderId="0" xfId="0" applyNumberFormat="1" applyFont="1" applyAlignment="1">
      <alignment horizontal="right"/>
    </xf>
    <xf numFmtId="40" fontId="4" fillId="0" borderId="5" xfId="0" applyNumberFormat="1" applyFont="1" applyBorder="1" applyAlignment="1">
      <alignment horizontal="right"/>
    </xf>
    <xf numFmtId="40" fontId="4" fillId="0" borderId="5" xfId="0" applyNumberFormat="1" applyFont="1" applyBorder="1"/>
    <xf numFmtId="40" fontId="5" fillId="0" borderId="0" xfId="0" applyNumberFormat="1" applyFont="1"/>
    <xf numFmtId="4" fontId="1" fillId="0" borderId="0" xfId="0" applyNumberFormat="1" applyFont="1"/>
    <xf numFmtId="4" fontId="0" fillId="0" borderId="5" xfId="0" applyNumberFormat="1" applyBorder="1"/>
    <xf numFmtId="40" fontId="5" fillId="0" borderId="6" xfId="0" applyNumberFormat="1" applyFont="1" applyBorder="1"/>
    <xf numFmtId="44" fontId="0" fillId="0" borderId="0" xfId="1" applyFont="1"/>
    <xf numFmtId="40" fontId="7" fillId="0" borderId="0" xfId="0" applyNumberFormat="1" applyFont="1"/>
    <xf numFmtId="44" fontId="0" fillId="0" borderId="0" xfId="1" applyFont="1" applyAlignment="1">
      <alignment horizontal="left"/>
    </xf>
    <xf numFmtId="40" fontId="8" fillId="0" borderId="0" xfId="0" applyNumberFormat="1" applyFont="1"/>
    <xf numFmtId="40" fontId="9" fillId="0" borderId="0" xfId="0" applyNumberFormat="1" applyFont="1" applyAlignment="1">
      <alignment horizontal="right"/>
    </xf>
    <xf numFmtId="40" fontId="9" fillId="0" borderId="0" xfId="0" applyNumberFormat="1" applyFont="1"/>
    <xf numFmtId="40" fontId="9" fillId="0" borderId="0" xfId="0" quotePrefix="1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  <xf numFmtId="4" fontId="0" fillId="0" borderId="0" xfId="0" applyNumberFormat="1"/>
    <xf numFmtId="4" fontId="5" fillId="0" borderId="0" xfId="0" applyNumberFormat="1" applyFont="1"/>
    <xf numFmtId="40" fontId="7" fillId="0" borderId="5" xfId="0" applyNumberFormat="1" applyFont="1" applyBorder="1"/>
    <xf numFmtId="40" fontId="10" fillId="0" borderId="0" xfId="0" applyNumberFormat="1" applyFont="1"/>
    <xf numFmtId="44" fontId="1" fillId="2" borderId="0" xfId="1" applyFont="1" applyFill="1"/>
    <xf numFmtId="40" fontId="7" fillId="0" borderId="0" xfId="0" applyNumberFormat="1" applyFont="1" applyAlignment="1">
      <alignment horizontal="right"/>
    </xf>
    <xf numFmtId="40" fontId="9" fillId="0" borderId="5" xfId="0" applyNumberFormat="1" applyFont="1" applyBorder="1" applyAlignment="1">
      <alignment horizontal="right"/>
    </xf>
    <xf numFmtId="44" fontId="1" fillId="0" borderId="0" xfId="1" applyFont="1"/>
    <xf numFmtId="40" fontId="0" fillId="0" borderId="0" xfId="0" applyNumberFormat="1" applyAlignment="1">
      <alignment wrapText="1"/>
    </xf>
    <xf numFmtId="0" fontId="1" fillId="0" borderId="5" xfId="0" applyFont="1" applyBorder="1" applyAlignment="1">
      <alignment horizontal="center"/>
    </xf>
    <xf numFmtId="44" fontId="0" fillId="0" borderId="0" xfId="1" applyFont="1" applyAlignment="1">
      <alignment wrapText="1"/>
    </xf>
    <xf numFmtId="40" fontId="7" fillId="0" borderId="0" xfId="0" applyNumberFormat="1" applyFont="1" applyAlignment="1">
      <alignment wrapText="1"/>
    </xf>
    <xf numFmtId="44" fontId="1" fillId="0" borderId="0" xfId="1" applyFont="1" applyAlignment="1">
      <alignment horizontal="center"/>
    </xf>
    <xf numFmtId="0" fontId="1" fillId="0" borderId="5" xfId="1" applyNumberFormat="1" applyFont="1" applyBorder="1" applyAlignment="1">
      <alignment horizontal="center"/>
    </xf>
    <xf numFmtId="44" fontId="9" fillId="0" borderId="5" xfId="1" applyFont="1" applyBorder="1"/>
    <xf numFmtId="44" fontId="9" fillId="0" borderId="0" xfId="1" applyFont="1" applyAlignment="1">
      <alignment horizontal="left"/>
    </xf>
    <xf numFmtId="44" fontId="0" fillId="0" borderId="5" xfId="1" applyFont="1" applyBorder="1"/>
    <xf numFmtId="44" fontId="1" fillId="0" borderId="0" xfId="1" applyFont="1" applyAlignment="1">
      <alignment wrapText="1"/>
    </xf>
    <xf numFmtId="40" fontId="0" fillId="3" borderId="0" xfId="0" applyNumberFormat="1" applyFill="1"/>
    <xf numFmtId="14" fontId="0" fillId="0" borderId="0" xfId="0" applyNumberFormat="1"/>
    <xf numFmtId="44" fontId="0" fillId="0" borderId="0" xfId="1" applyFont="1" applyBorder="1"/>
    <xf numFmtId="44" fontId="0" fillId="0" borderId="5" xfId="1" applyFont="1" applyFill="1" applyBorder="1"/>
    <xf numFmtId="44" fontId="0" fillId="0" borderId="0" xfId="1" applyFont="1" applyFill="1"/>
    <xf numFmtId="40" fontId="0" fillId="4" borderId="0" xfId="0" applyNumberFormat="1" applyFill="1"/>
    <xf numFmtId="44" fontId="6" fillId="4" borderId="0" xfId="1" applyFont="1" applyFill="1"/>
    <xf numFmtId="40" fontId="1" fillId="0" borderId="4" xfId="0" applyNumberFormat="1" applyFont="1" applyBorder="1"/>
    <xf numFmtId="40" fontId="11" fillId="0" borderId="0" xfId="0" applyNumberFormat="1" applyFont="1"/>
    <xf numFmtId="44" fontId="1" fillId="3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6BCF-7BDB-4A8A-BB9D-4CD995D46AAE}">
  <sheetPr>
    <pageSetUpPr fitToPage="1"/>
  </sheetPr>
  <dimension ref="A1:X338"/>
  <sheetViews>
    <sheetView tabSelected="1" topLeftCell="B79" zoomScale="90" zoomScaleNormal="90" workbookViewId="0">
      <selection activeCell="S97" sqref="A1:S97"/>
    </sheetView>
  </sheetViews>
  <sheetFormatPr defaultColWidth="9" defaultRowHeight="15" x14ac:dyDescent="0.25"/>
  <cols>
    <col min="1" max="1" width="17.5703125" style="1" hidden="1" customWidth="1"/>
    <col min="2" max="2" width="36.5703125" style="2" bestFit="1" customWidth="1"/>
    <col min="3" max="4" width="12.7109375" style="2" hidden="1" customWidth="1"/>
    <col min="5" max="5" width="4.42578125" style="2" customWidth="1"/>
    <col min="6" max="6" width="12.7109375" style="2" hidden="1" customWidth="1"/>
    <col min="7" max="7" width="12.7109375" style="1" hidden="1" customWidth="1"/>
    <col min="8" max="8" width="4.42578125" style="2" hidden="1" customWidth="1"/>
    <col min="9" max="10" width="32.7109375" style="1" hidden="1" customWidth="1"/>
    <col min="11" max="11" width="3.5703125" style="1" hidden="1" customWidth="1"/>
    <col min="12" max="12" width="32.7109375" style="1" hidden="1" customWidth="1"/>
    <col min="13" max="13" width="29.42578125" style="1" customWidth="1"/>
    <col min="14" max="14" width="35.7109375" style="1" customWidth="1"/>
    <col min="15" max="15" width="45" style="35" customWidth="1"/>
    <col min="16" max="17" width="26.5703125" style="1" customWidth="1"/>
    <col min="18" max="18" width="15.7109375" style="1" customWidth="1"/>
    <col min="19" max="19" width="13.28515625" style="1" bestFit="1" customWidth="1"/>
    <col min="20" max="20" width="45.42578125" style="1" bestFit="1" customWidth="1"/>
    <col min="21" max="23" width="12.140625" style="1" bestFit="1" customWidth="1"/>
    <col min="24" max="16384" width="9" style="1"/>
  </cols>
  <sheetData>
    <row r="1" spans="2:24" x14ac:dyDescent="0.25">
      <c r="C1" s="20" t="s">
        <v>34</v>
      </c>
      <c r="D1" s="20"/>
      <c r="F1" s="20" t="s">
        <v>35</v>
      </c>
      <c r="G1" s="20"/>
      <c r="I1" s="20" t="s">
        <v>35</v>
      </c>
      <c r="J1" s="20" t="s">
        <v>49</v>
      </c>
      <c r="K1" s="20"/>
      <c r="L1" s="20" t="s">
        <v>49</v>
      </c>
      <c r="M1" s="20" t="s">
        <v>34</v>
      </c>
      <c r="O1" s="55" t="s">
        <v>103</v>
      </c>
      <c r="P1" s="20" t="s">
        <v>115</v>
      </c>
      <c r="Q1" s="20"/>
      <c r="R1" s="20"/>
      <c r="T1" s="50" t="s">
        <v>86</v>
      </c>
      <c r="V1" s="62"/>
      <c r="W1" s="62">
        <v>45757</v>
      </c>
    </row>
    <row r="2" spans="2:24" x14ac:dyDescent="0.25">
      <c r="B2" s="12" t="s">
        <v>32</v>
      </c>
      <c r="C2" s="21">
        <v>2023</v>
      </c>
      <c r="D2" s="19"/>
      <c r="E2" s="12"/>
      <c r="F2" s="21">
        <v>2024</v>
      </c>
      <c r="G2" s="19"/>
      <c r="H2" s="12"/>
      <c r="I2" s="21" t="s">
        <v>41</v>
      </c>
      <c r="J2" s="21" t="s">
        <v>50</v>
      </c>
      <c r="K2" s="42"/>
      <c r="L2" s="21" t="s">
        <v>51</v>
      </c>
      <c r="M2" s="52">
        <v>2024</v>
      </c>
      <c r="O2" s="56">
        <v>2025</v>
      </c>
      <c r="P2" s="19" t="s">
        <v>120</v>
      </c>
      <c r="Q2" s="20"/>
      <c r="R2" s="20"/>
      <c r="T2" s="1" t="s">
        <v>77</v>
      </c>
      <c r="U2" s="35">
        <v>1257.1500000000001</v>
      </c>
      <c r="V2" s="1">
        <v>10597.87</v>
      </c>
      <c r="W2" s="1">
        <v>11097.87</v>
      </c>
    </row>
    <row r="3" spans="2:24" x14ac:dyDescent="0.25">
      <c r="B3" s="2" t="s">
        <v>33</v>
      </c>
      <c r="D3" s="1"/>
      <c r="F3" s="17">
        <f>19468.15+612</f>
        <v>20080.150000000001</v>
      </c>
      <c r="G3" s="1" t="s">
        <v>37</v>
      </c>
      <c r="I3" s="1">
        <v>70332.39</v>
      </c>
      <c r="J3" s="1">
        <f>U11</f>
        <v>37993.67</v>
      </c>
      <c r="L3" s="1">
        <f>U11</f>
        <v>37993.67</v>
      </c>
      <c r="M3" s="1">
        <f>U11</f>
        <v>37993.67</v>
      </c>
      <c r="O3" s="35">
        <v>39161.61</v>
      </c>
      <c r="P3" s="1">
        <f>W11</f>
        <v>96788.66</v>
      </c>
      <c r="T3" s="1" t="s">
        <v>76</v>
      </c>
      <c r="U3" s="35"/>
    </row>
    <row r="4" spans="2:24" x14ac:dyDescent="0.25">
      <c r="B4" s="2" t="s">
        <v>40</v>
      </c>
      <c r="D4" s="1"/>
      <c r="F4" s="9"/>
      <c r="G4" s="4"/>
      <c r="I4" s="1">
        <v>12550</v>
      </c>
      <c r="J4" s="1">
        <v>15545</v>
      </c>
      <c r="L4" s="1">
        <v>15545</v>
      </c>
      <c r="M4" s="1">
        <v>0</v>
      </c>
      <c r="P4" s="1">
        <v>21385</v>
      </c>
      <c r="T4" s="1" t="s">
        <v>78</v>
      </c>
      <c r="U4" s="35">
        <v>444.63</v>
      </c>
      <c r="V4" s="1">
        <v>456.69</v>
      </c>
      <c r="W4" s="1">
        <v>458.24</v>
      </c>
    </row>
    <row r="5" spans="2:24" x14ac:dyDescent="0.25">
      <c r="B5" s="9"/>
      <c r="C5" s="9"/>
      <c r="D5" s="23"/>
      <c r="E5" s="9"/>
      <c r="F5" s="9"/>
      <c r="H5" s="9"/>
      <c r="T5" s="1" t="s">
        <v>79</v>
      </c>
      <c r="U5" s="35">
        <v>5</v>
      </c>
      <c r="V5" s="1">
        <v>5</v>
      </c>
      <c r="W5" s="1">
        <v>5</v>
      </c>
    </row>
    <row r="6" spans="2:24" x14ac:dyDescent="0.25">
      <c r="B6" s="13" t="s">
        <v>59</v>
      </c>
      <c r="C6" s="13"/>
      <c r="D6" s="24"/>
      <c r="E6" s="13"/>
      <c r="F6" s="10"/>
      <c r="H6" s="13"/>
      <c r="T6" s="1" t="s">
        <v>80</v>
      </c>
      <c r="U6" s="35">
        <v>0</v>
      </c>
      <c r="V6" s="1">
        <v>0</v>
      </c>
      <c r="W6" s="1">
        <v>0</v>
      </c>
    </row>
    <row r="7" spans="2:24" x14ac:dyDescent="0.25">
      <c r="B7" s="14" t="s">
        <v>19</v>
      </c>
      <c r="C7" s="14"/>
      <c r="D7" s="1"/>
      <c r="E7" s="14"/>
      <c r="H7" s="14"/>
      <c r="T7" s="35" t="s">
        <v>81</v>
      </c>
      <c r="U7" s="35">
        <v>13438.25</v>
      </c>
      <c r="V7" s="1">
        <v>0</v>
      </c>
      <c r="W7" s="1">
        <v>0</v>
      </c>
    </row>
    <row r="8" spans="2:24" x14ac:dyDescent="0.25">
      <c r="B8" s="2" t="s">
        <v>2</v>
      </c>
      <c r="C8" s="2">
        <v>4300</v>
      </c>
      <c r="D8" s="1"/>
      <c r="F8" s="2">
        <v>4000</v>
      </c>
      <c r="I8" s="1">
        <v>6600</v>
      </c>
      <c r="J8" s="1">
        <v>7700</v>
      </c>
      <c r="L8" s="1">
        <v>7700</v>
      </c>
      <c r="M8" s="1">
        <v>8850</v>
      </c>
      <c r="P8" s="1">
        <v>11600</v>
      </c>
      <c r="T8" s="35" t="s">
        <v>82</v>
      </c>
      <c r="U8" s="35">
        <v>148.51</v>
      </c>
      <c r="V8" s="1">
        <v>0</v>
      </c>
      <c r="W8" s="1">
        <v>0</v>
      </c>
    </row>
    <row r="9" spans="2:24" x14ac:dyDescent="0.25">
      <c r="B9" s="2" t="s">
        <v>3</v>
      </c>
      <c r="C9" s="2">
        <v>5200</v>
      </c>
      <c r="D9" s="1"/>
      <c r="F9" s="2">
        <v>4500</v>
      </c>
      <c r="I9" s="1">
        <v>10325</v>
      </c>
      <c r="J9" s="1">
        <v>10325</v>
      </c>
      <c r="L9" s="1">
        <v>10325</v>
      </c>
      <c r="M9" s="1">
        <v>10325</v>
      </c>
      <c r="P9" s="1">
        <v>10300</v>
      </c>
      <c r="T9" s="1" t="s">
        <v>83</v>
      </c>
      <c r="U9" s="35">
        <v>0</v>
      </c>
      <c r="V9" s="1">
        <v>2300</v>
      </c>
      <c r="W9" s="1">
        <v>1670</v>
      </c>
    </row>
    <row r="10" spans="2:24" x14ac:dyDescent="0.25">
      <c r="B10" s="2" t="s">
        <v>4</v>
      </c>
      <c r="C10" s="2">
        <v>950</v>
      </c>
      <c r="D10" s="1"/>
      <c r="F10" s="2">
        <v>900</v>
      </c>
      <c r="I10" s="1">
        <v>1350</v>
      </c>
      <c r="J10" s="1">
        <v>1350</v>
      </c>
      <c r="L10" s="1">
        <v>1350</v>
      </c>
      <c r="M10" s="1">
        <v>2050</v>
      </c>
      <c r="P10" s="1">
        <v>2450</v>
      </c>
      <c r="T10" s="1" t="s">
        <v>42</v>
      </c>
      <c r="U10" s="35">
        <f>12505.77+10194.36</f>
        <v>22700.13</v>
      </c>
      <c r="V10" s="1">
        <f>83115.66-8986.47-7778.67</f>
        <v>66350.52</v>
      </c>
      <c r="W10" s="1">
        <f>167.33+83390.22</f>
        <v>83557.55</v>
      </c>
      <c r="X10" s="1" t="s">
        <v>113</v>
      </c>
    </row>
    <row r="11" spans="2:24" x14ac:dyDescent="0.25">
      <c r="B11" s="2" t="s">
        <v>20</v>
      </c>
      <c r="C11" s="2">
        <v>1750</v>
      </c>
      <c r="D11" s="1"/>
      <c r="F11" s="2">
        <v>1500</v>
      </c>
      <c r="I11" s="1">
        <v>1500</v>
      </c>
      <c r="J11" s="1">
        <v>1750</v>
      </c>
      <c r="L11" s="1">
        <v>1750</v>
      </c>
      <c r="M11" s="1">
        <v>1750</v>
      </c>
      <c r="P11" s="1">
        <v>1500</v>
      </c>
      <c r="T11" s="4" t="s">
        <v>39</v>
      </c>
      <c r="U11" s="50">
        <f>SUM(U2:U10)</f>
        <v>37993.67</v>
      </c>
      <c r="V11" s="50">
        <f>SUM(V2:V10)</f>
        <v>79710.080000000002</v>
      </c>
      <c r="W11" s="50">
        <f>SUM(W2:W10)</f>
        <v>96788.66</v>
      </c>
    </row>
    <row r="12" spans="2:24" x14ac:dyDescent="0.25">
      <c r="B12" s="2" t="s">
        <v>5</v>
      </c>
      <c r="C12" s="22">
        <v>38000</v>
      </c>
      <c r="D12" s="1"/>
      <c r="F12" s="2">
        <v>35000</v>
      </c>
      <c r="I12" s="26">
        <v>32500</v>
      </c>
      <c r="J12" s="26">
        <v>32500</v>
      </c>
      <c r="L12" s="26">
        <v>32500</v>
      </c>
      <c r="M12" s="26">
        <v>32750</v>
      </c>
      <c r="P12" s="26">
        <v>34850</v>
      </c>
    </row>
    <row r="13" spans="2:24" x14ac:dyDescent="0.25">
      <c r="B13" s="18" t="s">
        <v>31</v>
      </c>
      <c r="C13" s="2">
        <f>SUM(C8:C12)</f>
        <v>50200</v>
      </c>
      <c r="D13" s="1"/>
      <c r="E13" s="18"/>
      <c r="F13" s="16">
        <f>SUM(F8:F12)</f>
        <v>45900</v>
      </c>
      <c r="H13" s="18"/>
      <c r="I13" s="1">
        <f>SUM(I8:I12)</f>
        <v>52275</v>
      </c>
      <c r="J13" s="1">
        <f>SUM(J8:J12)</f>
        <v>53625</v>
      </c>
      <c r="L13" s="1">
        <f>SUM(L8:L12)</f>
        <v>53625</v>
      </c>
      <c r="M13" s="1">
        <f>SUM(M8:M12)</f>
        <v>55725</v>
      </c>
      <c r="O13" s="35">
        <v>60000</v>
      </c>
      <c r="P13" s="1">
        <f>SUM(P8:P12)</f>
        <v>60700</v>
      </c>
      <c r="Q13" s="69">
        <v>700</v>
      </c>
    </row>
    <row r="14" spans="2:24" x14ac:dyDescent="0.25">
      <c r="B14" s="39" t="s">
        <v>72</v>
      </c>
      <c r="C14" s="2">
        <v>-9351</v>
      </c>
      <c r="D14" s="1"/>
      <c r="F14" s="1">
        <v>-10000</v>
      </c>
      <c r="I14" s="26">
        <v>-7230</v>
      </c>
      <c r="J14" s="26">
        <v>-7230</v>
      </c>
      <c r="L14" s="26">
        <v>-7230</v>
      </c>
      <c r="M14" s="26">
        <f>-7380.1-815-3730</f>
        <v>-11925.1</v>
      </c>
      <c r="O14" s="57">
        <v>-13000</v>
      </c>
      <c r="P14" s="26"/>
    </row>
    <row r="15" spans="2:24" x14ac:dyDescent="0.25">
      <c r="C15" s="11"/>
      <c r="D15" s="1">
        <f>+C13+C14</f>
        <v>40849</v>
      </c>
      <c r="F15" s="11"/>
      <c r="G15" s="1">
        <f>+F13+F14</f>
        <v>35900</v>
      </c>
      <c r="I15" s="4">
        <f>I13+I14</f>
        <v>45045</v>
      </c>
      <c r="J15" s="4">
        <f>J13+J14</f>
        <v>46395</v>
      </c>
      <c r="K15" s="4"/>
      <c r="L15" s="4">
        <f>L13+L14</f>
        <v>46395</v>
      </c>
      <c r="M15" s="4">
        <f>M13+M14</f>
        <v>43799.9</v>
      </c>
      <c r="O15" s="50">
        <f>O13+O14</f>
        <v>47000</v>
      </c>
    </row>
    <row r="16" spans="2:24" x14ac:dyDescent="0.25">
      <c r="D16" s="1"/>
      <c r="F16" s="9"/>
      <c r="P16" s="38"/>
      <c r="Q16" s="38"/>
      <c r="R16" s="38"/>
      <c r="S16" s="38"/>
    </row>
    <row r="17" spans="2:21" x14ac:dyDescent="0.25">
      <c r="B17" s="2" t="s">
        <v>44</v>
      </c>
      <c r="D17" s="1"/>
      <c r="F17" s="9"/>
      <c r="I17" s="27">
        <f>2000</f>
        <v>2000</v>
      </c>
      <c r="J17" s="27">
        <v>6500</v>
      </c>
      <c r="K17" s="27"/>
      <c r="L17" s="27">
        <v>6500</v>
      </c>
      <c r="M17" s="36">
        <f>3756</f>
        <v>3756</v>
      </c>
      <c r="N17" s="1" t="s">
        <v>106</v>
      </c>
      <c r="O17" s="37">
        <f>50*100*0.98</f>
        <v>4900</v>
      </c>
      <c r="Q17" s="35" t="s">
        <v>105</v>
      </c>
      <c r="R17" s="35"/>
      <c r="T17" s="1" t="s">
        <v>110</v>
      </c>
      <c r="U17" s="1">
        <f>32*4*9*2</f>
        <v>2304</v>
      </c>
    </row>
    <row r="18" spans="2:21" ht="33.75" customHeight="1" x14ac:dyDescent="0.25">
      <c r="B18" s="2" t="s">
        <v>52</v>
      </c>
      <c r="D18" s="1"/>
      <c r="F18" s="9"/>
      <c r="I18" s="27"/>
      <c r="J18" s="27"/>
      <c r="K18" s="27"/>
      <c r="L18" s="27"/>
      <c r="M18" s="36">
        <v>4536</v>
      </c>
      <c r="N18" s="1" t="s">
        <v>104</v>
      </c>
      <c r="O18" s="37">
        <v>5700</v>
      </c>
      <c r="Q18" s="53" t="s">
        <v>107</v>
      </c>
      <c r="R18" s="53"/>
      <c r="T18" s="1" t="s">
        <v>111</v>
      </c>
    </row>
    <row r="19" spans="2:21" x14ac:dyDescent="0.25">
      <c r="B19" s="39" t="s">
        <v>43</v>
      </c>
      <c r="C19" s="39"/>
      <c r="D19" s="40"/>
      <c r="E19" s="39"/>
      <c r="F19" s="41"/>
      <c r="G19" s="40"/>
      <c r="H19" s="39"/>
      <c r="I19" s="40"/>
      <c r="J19" s="40">
        <v>-750</v>
      </c>
      <c r="K19" s="40"/>
      <c r="L19" s="40">
        <v>-750</v>
      </c>
      <c r="M19" s="39">
        <v>-586.01</v>
      </c>
      <c r="N19" s="1" t="s">
        <v>88</v>
      </c>
      <c r="O19" s="58">
        <v>400</v>
      </c>
      <c r="Q19" s="35"/>
      <c r="R19" s="35"/>
      <c r="T19" s="1" t="s">
        <v>112</v>
      </c>
      <c r="U19" s="1">
        <f>1200*8*2</f>
        <v>19200</v>
      </c>
    </row>
    <row r="20" spans="2:21" x14ac:dyDescent="0.25">
      <c r="B20" s="2" t="s">
        <v>46</v>
      </c>
      <c r="D20" s="1"/>
      <c r="F20" s="9"/>
      <c r="I20" s="27">
        <v>1500</v>
      </c>
      <c r="J20" s="27">
        <v>4000</v>
      </c>
      <c r="K20" s="27"/>
      <c r="L20" s="27">
        <v>4000</v>
      </c>
      <c r="M20" s="36">
        <f>1770</f>
        <v>1770</v>
      </c>
      <c r="O20" s="65"/>
      <c r="Q20" s="65"/>
      <c r="R20" s="65"/>
    </row>
    <row r="21" spans="2:21" ht="30" x14ac:dyDescent="0.25">
      <c r="B21" s="39" t="s">
        <v>45</v>
      </c>
      <c r="D21" s="1"/>
      <c r="F21" s="9"/>
      <c r="I21" s="27"/>
      <c r="J21" s="40">
        <f>-(2000)</f>
        <v>-2000</v>
      </c>
      <c r="K21" s="40"/>
      <c r="L21" s="40">
        <f>-1482.01</f>
        <v>-1482.01</v>
      </c>
      <c r="M21" s="40">
        <v>-1909.5</v>
      </c>
      <c r="N21" s="51" t="s">
        <v>89</v>
      </c>
      <c r="O21" s="65"/>
      <c r="Q21" s="65"/>
      <c r="R21" s="65"/>
    </row>
    <row r="22" spans="2:21" ht="30" x14ac:dyDescent="0.25">
      <c r="B22" s="2" t="s">
        <v>55</v>
      </c>
      <c r="D22" s="1"/>
      <c r="F22" s="9"/>
      <c r="I22" s="27">
        <v>0</v>
      </c>
      <c r="J22" s="27">
        <v>0</v>
      </c>
      <c r="K22" s="27"/>
      <c r="L22" s="27">
        <v>0</v>
      </c>
      <c r="M22" s="36">
        <v>1000</v>
      </c>
      <c r="N22" s="51" t="s">
        <v>70</v>
      </c>
      <c r="O22" s="35">
        <v>1000</v>
      </c>
    </row>
    <row r="23" spans="2:21" x14ac:dyDescent="0.25">
      <c r="B23" s="2" t="s">
        <v>9</v>
      </c>
      <c r="C23" s="14"/>
      <c r="D23" s="1">
        <v>4429.54</v>
      </c>
      <c r="E23" s="14"/>
      <c r="G23" s="1">
        <v>7500</v>
      </c>
      <c r="H23" s="14"/>
      <c r="I23" s="26">
        <f>7500</f>
        <v>7500</v>
      </c>
      <c r="J23" s="26">
        <f>5000+2500+750</f>
        <v>8250</v>
      </c>
      <c r="L23" s="26">
        <f>5000+2500+750</f>
        <v>8250</v>
      </c>
      <c r="M23" s="1">
        <f>31980.32-10000-12315</f>
        <v>9665.32</v>
      </c>
      <c r="O23" s="63">
        <v>10000</v>
      </c>
      <c r="P23" s="1">
        <v>9116.9</v>
      </c>
    </row>
    <row r="24" spans="2:21" x14ac:dyDescent="0.25">
      <c r="B24" s="2" t="s">
        <v>114</v>
      </c>
      <c r="C24" s="14"/>
      <c r="D24" s="1"/>
      <c r="E24" s="14"/>
      <c r="H24" s="14"/>
      <c r="M24" s="26"/>
      <c r="O24" s="59">
        <v>20000</v>
      </c>
      <c r="P24" s="26">
        <v>21150.11</v>
      </c>
    </row>
    <row r="25" spans="2:21" x14ac:dyDescent="0.25">
      <c r="B25" s="1"/>
      <c r="C25" s="1"/>
      <c r="D25" s="1"/>
      <c r="E25" s="1"/>
      <c r="F25" s="1"/>
      <c r="H25" s="1"/>
      <c r="I25" s="4">
        <f>SUM(I17:I23)</f>
        <v>11000</v>
      </c>
      <c r="J25" s="4">
        <f>SUM(J17:J23)</f>
        <v>16000</v>
      </c>
      <c r="K25" s="4"/>
      <c r="L25" s="4">
        <f>SUM(L17:L23)</f>
        <v>16517.989999999998</v>
      </c>
      <c r="M25" s="4">
        <f>SUM(M17:M23)</f>
        <v>18231.809999999998</v>
      </c>
      <c r="O25" s="50">
        <f>SUM(O17:O24)</f>
        <v>42000</v>
      </c>
      <c r="P25" s="4">
        <f>SUM(P17,P18,P20,P22,P23,P24)</f>
        <v>30267.010000000002</v>
      </c>
      <c r="Q25" s="69">
        <v>200</v>
      </c>
    </row>
    <row r="26" spans="2:21" x14ac:dyDescent="0.25">
      <c r="D26" s="1"/>
    </row>
    <row r="27" spans="2:21" x14ac:dyDescent="0.25">
      <c r="B27" s="14" t="s">
        <v>18</v>
      </c>
      <c r="C27" s="14"/>
      <c r="D27" s="1"/>
      <c r="E27" s="14"/>
      <c r="H27" s="14"/>
    </row>
    <row r="28" spans="2:21" x14ac:dyDescent="0.25">
      <c r="B28" s="2" t="s">
        <v>6</v>
      </c>
      <c r="C28" s="2">
        <v>13050</v>
      </c>
      <c r="D28" s="1"/>
      <c r="F28" s="2">
        <v>7000</v>
      </c>
      <c r="I28" s="27">
        <v>18050</v>
      </c>
      <c r="J28" s="27">
        <v>22625</v>
      </c>
      <c r="K28" s="27"/>
      <c r="L28" s="27">
        <v>22425</v>
      </c>
      <c r="M28" s="36">
        <f>21525-140</f>
        <v>21385</v>
      </c>
      <c r="N28" s="35"/>
      <c r="O28" s="35">
        <f>18000</f>
        <v>18000</v>
      </c>
    </row>
    <row r="29" spans="2:21" x14ac:dyDescent="0.25">
      <c r="B29" s="2" t="s">
        <v>7</v>
      </c>
      <c r="C29" s="2">
        <v>15425</v>
      </c>
      <c r="D29" s="1"/>
      <c r="F29" s="2">
        <v>15000</v>
      </c>
      <c r="I29" s="27">
        <v>15000</v>
      </c>
      <c r="J29" s="27">
        <v>21350</v>
      </c>
      <c r="K29" s="27"/>
      <c r="L29" s="27">
        <v>20650</v>
      </c>
      <c r="M29" s="36">
        <v>21000</v>
      </c>
      <c r="O29" s="35">
        <f>21000</f>
        <v>21000</v>
      </c>
    </row>
    <row r="30" spans="2:21" x14ac:dyDescent="0.25">
      <c r="B30" s="2" t="s">
        <v>8</v>
      </c>
      <c r="C30" s="2">
        <v>3300</v>
      </c>
      <c r="D30" s="1"/>
      <c r="F30" s="2">
        <f>+O36</f>
        <v>12500</v>
      </c>
      <c r="I30" s="33">
        <v>2974.59</v>
      </c>
      <c r="J30" s="33">
        <v>2974.59</v>
      </c>
      <c r="K30" s="43"/>
      <c r="L30" s="33">
        <v>2974.59</v>
      </c>
      <c r="M30" s="33">
        <v>2999.59</v>
      </c>
      <c r="O30" s="64">
        <v>3000</v>
      </c>
      <c r="P30" s="64">
        <v>2900</v>
      </c>
      <c r="Q30" s="65"/>
      <c r="R30" s="65"/>
    </row>
    <row r="31" spans="2:21" x14ac:dyDescent="0.25">
      <c r="C31" s="11"/>
      <c r="D31" s="1">
        <f>SUM(C28:C30)</f>
        <v>31775</v>
      </c>
      <c r="F31" s="11"/>
      <c r="G31" s="1">
        <f>SUM(F28:F30)</f>
        <v>34500</v>
      </c>
      <c r="I31" s="4">
        <f>SUM(I28:I30)</f>
        <v>36024.589999999997</v>
      </c>
      <c r="J31" s="4">
        <f>SUM(J28:J30)</f>
        <v>46949.59</v>
      </c>
      <c r="K31" s="4"/>
      <c r="L31" s="4">
        <f>SUM(L28:L30)</f>
        <v>46049.59</v>
      </c>
      <c r="M31" s="4">
        <f>SUM(M28:M30)</f>
        <v>45384.59</v>
      </c>
      <c r="O31" s="50">
        <f>SUM(O28:O30)</f>
        <v>42000</v>
      </c>
      <c r="P31" s="4">
        <f>SUM(P28:P30)</f>
        <v>2900</v>
      </c>
    </row>
    <row r="32" spans="2:21" x14ac:dyDescent="0.25">
      <c r="D32" s="1"/>
      <c r="F32" s="9"/>
    </row>
    <row r="33" spans="2:17" ht="45.75" customHeight="1" x14ac:dyDescent="0.25">
      <c r="B33" s="14" t="s">
        <v>84</v>
      </c>
      <c r="C33" s="14"/>
      <c r="D33" s="1">
        <v>2000</v>
      </c>
      <c r="E33" s="14"/>
      <c r="G33" s="1">
        <v>0</v>
      </c>
      <c r="H33" s="14"/>
      <c r="I33" s="36">
        <v>2500</v>
      </c>
      <c r="J33" s="36">
        <v>2500</v>
      </c>
      <c r="K33" s="36"/>
      <c r="L33" s="36">
        <v>2500</v>
      </c>
      <c r="M33" s="46">
        <v>2500</v>
      </c>
      <c r="N33" s="51" t="s">
        <v>90</v>
      </c>
      <c r="O33" s="60">
        <v>2750</v>
      </c>
    </row>
    <row r="34" spans="2:17" x14ac:dyDescent="0.25">
      <c r="D34" s="1"/>
    </row>
    <row r="35" spans="2:17" x14ac:dyDescent="0.25">
      <c r="B35" s="14" t="s">
        <v>26</v>
      </c>
      <c r="C35" s="14"/>
      <c r="D35" s="1"/>
      <c r="E35" s="14"/>
      <c r="H35" s="14"/>
    </row>
    <row r="36" spans="2:17" x14ac:dyDescent="0.25">
      <c r="B36" s="2" t="s">
        <v>54</v>
      </c>
      <c r="C36" s="2">
        <v>14067.38</v>
      </c>
      <c r="D36" s="1"/>
      <c r="F36" s="2">
        <v>14000</v>
      </c>
      <c r="I36" s="28">
        <v>14000</v>
      </c>
      <c r="J36" s="28">
        <v>14000</v>
      </c>
      <c r="K36" s="28"/>
      <c r="L36" s="28">
        <v>14000</v>
      </c>
      <c r="M36" s="48">
        <f>25141.25/2</f>
        <v>12570.625</v>
      </c>
      <c r="N36" s="1" t="s">
        <v>60</v>
      </c>
      <c r="O36" s="35">
        <v>12500</v>
      </c>
    </row>
    <row r="37" spans="2:17" x14ac:dyDescent="0.25">
      <c r="B37" s="2" t="s">
        <v>85</v>
      </c>
      <c r="C37" s="2">
        <v>-5404</v>
      </c>
      <c r="D37" s="1"/>
      <c r="F37" s="2">
        <v>-6000</v>
      </c>
      <c r="I37" s="29">
        <v>-6000</v>
      </c>
      <c r="J37" s="29">
        <v>-6000</v>
      </c>
      <c r="K37" s="28"/>
      <c r="L37" s="29">
        <v>-6000</v>
      </c>
      <c r="M37" s="49">
        <f>-(M36-M38)</f>
        <v>-4607.335</v>
      </c>
      <c r="O37" s="57">
        <v>-4700</v>
      </c>
      <c r="P37" s="26"/>
    </row>
    <row r="38" spans="2:17" x14ac:dyDescent="0.25">
      <c r="C38" s="11"/>
      <c r="D38" s="1">
        <f>SUM(C36:C37)</f>
        <v>8663.3799999999992</v>
      </c>
      <c r="F38" s="11"/>
      <c r="G38" s="1">
        <f>SUM(F36:F37)</f>
        <v>8000</v>
      </c>
      <c r="I38" s="27">
        <v>8000</v>
      </c>
      <c r="J38" s="27">
        <v>8000</v>
      </c>
      <c r="K38" s="27"/>
      <c r="L38" s="27">
        <v>8000</v>
      </c>
      <c r="M38" s="46">
        <v>7963.29</v>
      </c>
      <c r="O38" s="50">
        <f>SUM(O36:O37)</f>
        <v>7800</v>
      </c>
    </row>
    <row r="39" spans="2:17" x14ac:dyDescent="0.25">
      <c r="D39" s="1"/>
      <c r="F39" s="9"/>
    </row>
    <row r="40" spans="2:17" x14ac:dyDescent="0.25">
      <c r="B40" s="14" t="s">
        <v>28</v>
      </c>
      <c r="C40" s="14"/>
      <c r="D40" s="1"/>
      <c r="E40" s="14"/>
      <c r="H40" s="14"/>
    </row>
    <row r="41" spans="2:17" x14ac:dyDescent="0.25">
      <c r="B41" s="2" t="s">
        <v>1</v>
      </c>
      <c r="C41" s="2">
        <v>19818.29</v>
      </c>
      <c r="D41" s="1"/>
      <c r="F41" s="2">
        <v>19000</v>
      </c>
      <c r="I41" s="28">
        <v>19000</v>
      </c>
      <c r="J41" s="28">
        <v>19000</v>
      </c>
      <c r="K41" s="28"/>
      <c r="L41" s="28">
        <v>19000</v>
      </c>
      <c r="M41" s="48">
        <f>20683.69+235+48.51+70</f>
        <v>21037.199999999997</v>
      </c>
      <c r="O41" s="35">
        <v>24000</v>
      </c>
    </row>
    <row r="42" spans="2:17" x14ac:dyDescent="0.25">
      <c r="B42" s="2" t="s">
        <v>27</v>
      </c>
      <c r="C42" s="2">
        <v>-6402.65</v>
      </c>
      <c r="D42" s="1"/>
      <c r="F42" s="2">
        <v>-7000</v>
      </c>
      <c r="I42" s="29">
        <v>-7000</v>
      </c>
      <c r="J42" s="29">
        <v>-7000</v>
      </c>
      <c r="K42" s="28"/>
      <c r="L42" s="29">
        <v>-7000</v>
      </c>
      <c r="M42" s="49">
        <f>-2324.25-6203.35</f>
        <v>-8527.6</v>
      </c>
      <c r="O42" s="57">
        <v>-8500</v>
      </c>
      <c r="P42" s="26">
        <v>200</v>
      </c>
      <c r="Q42" s="1" t="s">
        <v>124</v>
      </c>
    </row>
    <row r="43" spans="2:17" ht="30" x14ac:dyDescent="0.25">
      <c r="C43" s="11"/>
      <c r="D43" s="1">
        <f>SUM(C41:C42)</f>
        <v>13415.640000000001</v>
      </c>
      <c r="F43" s="11"/>
      <c r="G43" s="1">
        <f>SUM(F41:F42)</f>
        <v>12000</v>
      </c>
      <c r="I43" s="27">
        <f>SUM(I41:I42)</f>
        <v>12000</v>
      </c>
      <c r="J43" s="27">
        <f>SUM(J41:J42)</f>
        <v>12000</v>
      </c>
      <c r="K43" s="27"/>
      <c r="L43" s="27">
        <f>SUM(L41:L42)</f>
        <v>12000</v>
      </c>
      <c r="M43" s="46">
        <f>SUM(M41:M42)</f>
        <v>12509.599999999997</v>
      </c>
      <c r="N43" s="53" t="s">
        <v>69</v>
      </c>
      <c r="O43" s="50">
        <f>SUM(O41:O42)</f>
        <v>15500</v>
      </c>
    </row>
    <row r="44" spans="2:17" x14ac:dyDescent="0.25">
      <c r="D44" s="1"/>
      <c r="F44" s="9"/>
    </row>
    <row r="45" spans="2:17" x14ac:dyDescent="0.25">
      <c r="D45" s="1"/>
    </row>
    <row r="46" spans="2:17" x14ac:dyDescent="0.25">
      <c r="B46" s="12" t="s">
        <v>16</v>
      </c>
      <c r="C46" s="12"/>
      <c r="D46" s="7">
        <f>SUM(D5:D43)</f>
        <v>101132.56000000001</v>
      </c>
      <c r="E46" s="12"/>
      <c r="G46" s="7">
        <f>SUM(G5:G43)</f>
        <v>97900</v>
      </c>
      <c r="H46" s="12"/>
      <c r="I46" s="4">
        <f>SUM(I43,I38,I33,I31,I25,I15)</f>
        <v>114569.59</v>
      </c>
      <c r="J46" s="4">
        <f>SUM(J43,J38,J33,J31,J25,J15)</f>
        <v>131844.59</v>
      </c>
      <c r="K46" s="4"/>
      <c r="L46" s="4">
        <f>SUM(L43,L38,L33,L31,L25,L15)</f>
        <v>131462.57999999999</v>
      </c>
      <c r="M46" s="4">
        <f>SUM(M43,M38,M33,M31,M25,M15)</f>
        <v>130389.19</v>
      </c>
      <c r="O46" s="4">
        <f>SUM(O43,O38,O33,O31,O25,O15)</f>
        <v>157050</v>
      </c>
    </row>
    <row r="47" spans="2:17" x14ac:dyDescent="0.25">
      <c r="B47" s="2" t="s">
        <v>48</v>
      </c>
      <c r="C47" s="12"/>
      <c r="D47" s="4"/>
      <c r="E47" s="12"/>
      <c r="G47" s="4"/>
      <c r="H47" s="12"/>
      <c r="I47" s="4"/>
      <c r="J47" s="1">
        <f>207.44</f>
        <v>207.44</v>
      </c>
      <c r="L47" s="1">
        <f>207.44</f>
        <v>207.44</v>
      </c>
      <c r="M47" s="26">
        <v>495.11</v>
      </c>
      <c r="O47" s="59">
        <v>475</v>
      </c>
      <c r="P47" s="26">
        <v>672.5</v>
      </c>
    </row>
    <row r="48" spans="2:17" x14ac:dyDescent="0.25">
      <c r="B48" s="2" t="s">
        <v>39</v>
      </c>
      <c r="D48" s="1"/>
      <c r="F48" s="8"/>
      <c r="I48" s="4">
        <f>I46+I94</f>
        <v>126884.81</v>
      </c>
      <c r="J48" s="4">
        <f>J46++J47+J94</f>
        <v>144367.25</v>
      </c>
      <c r="K48" s="4"/>
      <c r="L48" s="4">
        <f>L46++L47+L94</f>
        <v>143985.24</v>
      </c>
      <c r="M48" s="4">
        <f>M46+M47</f>
        <v>130884.3</v>
      </c>
      <c r="O48" s="50">
        <f>SUM(O46:O47)</f>
        <v>157525</v>
      </c>
    </row>
    <row r="49" spans="2:16" x14ac:dyDescent="0.25">
      <c r="D49" s="1"/>
      <c r="F49" s="8"/>
      <c r="I49" s="4"/>
      <c r="J49" s="4"/>
      <c r="K49" s="4"/>
      <c r="L49" s="4"/>
      <c r="M49" s="4"/>
    </row>
    <row r="50" spans="2:16" x14ac:dyDescent="0.25">
      <c r="B50" s="12" t="s">
        <v>22</v>
      </c>
      <c r="C50" s="12"/>
      <c r="D50" s="4"/>
      <c r="E50" s="12"/>
      <c r="F50" s="1"/>
      <c r="H50" s="12"/>
    </row>
    <row r="51" spans="2:16" x14ac:dyDescent="0.25">
      <c r="B51" s="12"/>
      <c r="C51" s="12"/>
      <c r="D51" s="4"/>
      <c r="E51" s="12"/>
      <c r="F51" s="1"/>
      <c r="H51" s="12"/>
    </row>
    <row r="52" spans="2:16" x14ac:dyDescent="0.25">
      <c r="B52" s="15" t="s">
        <v>15</v>
      </c>
      <c r="C52" s="15"/>
      <c r="D52" s="1"/>
      <c r="E52" s="15"/>
      <c r="F52" s="1"/>
      <c r="H52" s="15"/>
    </row>
    <row r="53" spans="2:16" x14ac:dyDescent="0.25">
      <c r="B53" s="2" t="s">
        <v>67</v>
      </c>
      <c r="C53" s="2">
        <v>4000</v>
      </c>
      <c r="D53" s="1"/>
      <c r="F53" s="1">
        <v>4000</v>
      </c>
      <c r="I53" s="27">
        <v>4000</v>
      </c>
      <c r="J53" s="27">
        <v>4000</v>
      </c>
      <c r="K53" s="27"/>
      <c r="L53" s="27">
        <v>4000</v>
      </c>
      <c r="M53" s="36">
        <f>3364.1</f>
        <v>3364.1</v>
      </c>
      <c r="N53" s="1" t="s">
        <v>91</v>
      </c>
      <c r="O53" s="35">
        <v>3700</v>
      </c>
    </row>
    <row r="54" spans="2:16" x14ac:dyDescent="0.25">
      <c r="B54" s="2" t="s">
        <v>36</v>
      </c>
      <c r="C54" s="2">
        <v>1000</v>
      </c>
      <c r="D54" s="1"/>
      <c r="F54" s="1">
        <v>1000</v>
      </c>
      <c r="I54" s="27">
        <v>1000</v>
      </c>
      <c r="J54" s="27">
        <v>1000</v>
      </c>
      <c r="K54" s="27"/>
      <c r="L54" s="27">
        <v>1000</v>
      </c>
      <c r="M54" s="36">
        <v>1000</v>
      </c>
      <c r="O54" s="35">
        <v>1000</v>
      </c>
    </row>
    <row r="55" spans="2:16" ht="30" x14ac:dyDescent="0.25">
      <c r="B55" s="2" t="s">
        <v>56</v>
      </c>
      <c r="C55" s="2">
        <v>5072.58</v>
      </c>
      <c r="D55" s="1"/>
      <c r="F55" s="1">
        <v>6000</v>
      </c>
      <c r="I55" s="30">
        <v>6000</v>
      </c>
      <c r="J55" s="30">
        <v>6000</v>
      </c>
      <c r="K55" s="27"/>
      <c r="L55" s="30">
        <v>6000</v>
      </c>
      <c r="M55" s="45">
        <v>6116.64</v>
      </c>
      <c r="N55" s="51" t="s">
        <v>92</v>
      </c>
      <c r="O55" s="59">
        <v>7000</v>
      </c>
      <c r="P55" s="26"/>
    </row>
    <row r="56" spans="2:16" x14ac:dyDescent="0.25">
      <c r="C56" s="5"/>
      <c r="D56" s="1">
        <f>SUM(C53:C55)</f>
        <v>10072.58</v>
      </c>
      <c r="F56" s="5"/>
      <c r="G56" s="1">
        <f>SUM(F53:F55)</f>
        <v>11000</v>
      </c>
      <c r="I56" s="31">
        <f>SUM(I53:I55)</f>
        <v>11000</v>
      </c>
      <c r="J56" s="31">
        <f>SUM(J53:J55)</f>
        <v>11000</v>
      </c>
      <c r="K56" s="31"/>
      <c r="L56" s="31">
        <f>SUM(L53:L55)</f>
        <v>11000</v>
      </c>
      <c r="M56" s="46">
        <f>SUM(M53:M55)</f>
        <v>10480.740000000002</v>
      </c>
      <c r="O56" s="50">
        <f>SUM(O53:O55)</f>
        <v>11700</v>
      </c>
    </row>
    <row r="57" spans="2:16" x14ac:dyDescent="0.25">
      <c r="D57" s="1"/>
      <c r="F57" s="1"/>
    </row>
    <row r="58" spans="2:16" x14ac:dyDescent="0.25">
      <c r="B58" s="18" t="s">
        <v>21</v>
      </c>
      <c r="C58" s="18"/>
      <c r="D58" s="1"/>
      <c r="E58" s="18"/>
      <c r="F58" s="1"/>
      <c r="H58" s="18"/>
    </row>
    <row r="59" spans="2:16" x14ac:dyDescent="0.25">
      <c r="B59" s="2" t="s">
        <v>14</v>
      </c>
      <c r="C59" s="2">
        <v>300</v>
      </c>
      <c r="D59" s="1"/>
      <c r="F59" s="1">
        <v>300</v>
      </c>
      <c r="I59" s="1">
        <v>200</v>
      </c>
      <c r="J59" s="1">
        <v>200</v>
      </c>
      <c r="L59" s="1">
        <v>200</v>
      </c>
      <c r="M59" s="1">
        <v>200</v>
      </c>
      <c r="O59" s="35">
        <v>200</v>
      </c>
      <c r="P59" s="1">
        <v>200</v>
      </c>
    </row>
    <row r="60" spans="2:16" x14ac:dyDescent="0.25">
      <c r="B60" s="2" t="s">
        <v>47</v>
      </c>
      <c r="D60" s="1"/>
      <c r="F60" s="1"/>
      <c r="J60" s="1">
        <v>100</v>
      </c>
      <c r="L60" s="1">
        <v>100</v>
      </c>
      <c r="M60" s="1">
        <v>100</v>
      </c>
      <c r="O60" s="35">
        <v>100</v>
      </c>
    </row>
    <row r="61" spans="2:16" x14ac:dyDescent="0.25">
      <c r="B61" s="2" t="s">
        <v>23</v>
      </c>
      <c r="C61" s="2">
        <v>61.42</v>
      </c>
      <c r="D61" s="1"/>
      <c r="F61" s="1">
        <v>100</v>
      </c>
      <c r="I61" s="27">
        <f>241.7+211.55</f>
        <v>453.25</v>
      </c>
      <c r="J61" s="27">
        <f>892.74+311.73</f>
        <v>1204.47</v>
      </c>
      <c r="K61" s="27"/>
      <c r="L61" s="27">
        <f>892.74+311.73</f>
        <v>1204.47</v>
      </c>
      <c r="M61" s="36">
        <f>2244.18+490.39</f>
        <v>2734.5699999999997</v>
      </c>
      <c r="O61" s="35">
        <v>2900</v>
      </c>
      <c r="P61" s="1">
        <v>920.24</v>
      </c>
    </row>
    <row r="62" spans="2:16" x14ac:dyDescent="0.25">
      <c r="B62" s="2" t="s">
        <v>12</v>
      </c>
      <c r="C62" s="2">
        <v>619.08000000000004</v>
      </c>
      <c r="D62" s="1"/>
      <c r="F62" s="1">
        <v>750</v>
      </c>
      <c r="I62" s="1">
        <v>2072.31</v>
      </c>
      <c r="J62" s="1">
        <v>2072.31</v>
      </c>
      <c r="L62" s="1">
        <v>2072.31</v>
      </c>
      <c r="M62" s="1">
        <v>2072.31</v>
      </c>
      <c r="O62" s="35">
        <v>2500</v>
      </c>
      <c r="P62" s="1">
        <v>3907.69</v>
      </c>
    </row>
    <row r="63" spans="2:16" x14ac:dyDescent="0.25">
      <c r="B63" s="2" t="s">
        <v>29</v>
      </c>
      <c r="C63" s="2">
        <v>968.15</v>
      </c>
      <c r="D63" s="1"/>
      <c r="F63" s="1">
        <v>1000</v>
      </c>
      <c r="I63" s="27">
        <v>1000</v>
      </c>
      <c r="J63" s="27">
        <v>1000</v>
      </c>
      <c r="K63" s="27"/>
      <c r="L63" s="27">
        <v>1000</v>
      </c>
      <c r="M63" s="36">
        <v>1046.3800000000001</v>
      </c>
      <c r="O63" s="35">
        <v>1200</v>
      </c>
    </row>
    <row r="64" spans="2:16" ht="30" x14ac:dyDescent="0.25">
      <c r="B64" s="2" t="s">
        <v>63</v>
      </c>
      <c r="D64" s="1"/>
      <c r="F64" s="1"/>
      <c r="I64" s="27"/>
      <c r="M64" s="36">
        <f>135+975.22+26.71</f>
        <v>1136.93</v>
      </c>
      <c r="N64" s="51" t="s">
        <v>97</v>
      </c>
      <c r="O64" s="35">
        <v>1150</v>
      </c>
    </row>
    <row r="65" spans="2:19" ht="30" x14ac:dyDescent="0.25">
      <c r="B65" s="2" t="s">
        <v>64</v>
      </c>
      <c r="D65" s="1"/>
      <c r="F65" s="1"/>
      <c r="I65" s="27"/>
      <c r="J65" s="27">
        <v>1500</v>
      </c>
      <c r="K65" s="27"/>
      <c r="L65" s="27">
        <v>1500</v>
      </c>
      <c r="M65" s="36">
        <f>50.96+340.52+58.63+420.5+18.01+286.82+860.46</f>
        <v>2035.8999999999999</v>
      </c>
      <c r="N65" s="51" t="s">
        <v>96</v>
      </c>
      <c r="O65" s="35">
        <v>2000</v>
      </c>
    </row>
    <row r="66" spans="2:19" ht="45" x14ac:dyDescent="0.25">
      <c r="B66" s="2" t="s">
        <v>65</v>
      </c>
      <c r="D66" s="1"/>
      <c r="F66" s="1"/>
      <c r="I66" s="27"/>
      <c r="J66" s="27"/>
      <c r="K66" s="27"/>
      <c r="L66" s="27"/>
      <c r="M66" s="36">
        <f>155+125+5.32+56.6+9.85</f>
        <v>351.77000000000004</v>
      </c>
      <c r="N66" s="51" t="s">
        <v>95</v>
      </c>
      <c r="O66" s="35">
        <v>350</v>
      </c>
    </row>
    <row r="67" spans="2:19" ht="30" x14ac:dyDescent="0.25">
      <c r="B67" s="2" t="s">
        <v>53</v>
      </c>
      <c r="D67" s="1"/>
      <c r="F67" s="1"/>
      <c r="I67" s="27"/>
      <c r="J67" s="27"/>
      <c r="K67" s="27"/>
      <c r="L67" s="27"/>
      <c r="M67" s="36">
        <v>451.29</v>
      </c>
      <c r="N67" s="51" t="s">
        <v>94</v>
      </c>
      <c r="O67" s="35">
        <v>450</v>
      </c>
    </row>
    <row r="68" spans="2:19" x14ac:dyDescent="0.25">
      <c r="B68" s="2" t="s">
        <v>66</v>
      </c>
      <c r="D68" s="1"/>
      <c r="F68" s="1"/>
      <c r="I68" s="27"/>
      <c r="J68" s="27"/>
      <c r="K68" s="27"/>
      <c r="L68" s="27"/>
      <c r="M68" s="36">
        <v>500</v>
      </c>
    </row>
    <row r="69" spans="2:19" x14ac:dyDescent="0.25">
      <c r="B69" s="2" t="s">
        <v>62</v>
      </c>
      <c r="D69" s="1"/>
      <c r="F69" s="1"/>
      <c r="I69" s="27"/>
      <c r="J69" s="27"/>
      <c r="K69" s="27"/>
      <c r="L69" s="27"/>
      <c r="M69" s="36">
        <v>329.5</v>
      </c>
      <c r="N69" s="1" t="s">
        <v>93</v>
      </c>
      <c r="O69" s="35">
        <v>350</v>
      </c>
    </row>
    <row r="70" spans="2:19" x14ac:dyDescent="0.25">
      <c r="B70" s="2" t="s">
        <v>61</v>
      </c>
      <c r="D70" s="1"/>
      <c r="F70" s="1"/>
      <c r="I70" s="27"/>
      <c r="J70" s="27"/>
      <c r="K70" s="27"/>
      <c r="L70" s="27"/>
      <c r="M70" s="36">
        <v>80</v>
      </c>
      <c r="O70" s="35">
        <v>100</v>
      </c>
    </row>
    <row r="71" spans="2:19" x14ac:dyDescent="0.25">
      <c r="B71" s="2" t="s">
        <v>71</v>
      </c>
      <c r="D71" s="1"/>
      <c r="F71" s="1"/>
      <c r="I71" s="27"/>
      <c r="J71" s="27"/>
      <c r="K71" s="27"/>
      <c r="L71" s="27"/>
      <c r="M71" s="36">
        <v>332.8</v>
      </c>
      <c r="O71" s="35">
        <v>350</v>
      </c>
    </row>
    <row r="72" spans="2:19" x14ac:dyDescent="0.25">
      <c r="B72" s="2" t="s">
        <v>108</v>
      </c>
      <c r="D72" s="1"/>
      <c r="F72" s="1"/>
      <c r="I72" s="27"/>
      <c r="J72" s="27"/>
      <c r="K72" s="27"/>
      <c r="L72" s="27"/>
      <c r="M72" s="36"/>
      <c r="O72" s="35">
        <f>75*12</f>
        <v>900</v>
      </c>
      <c r="P72" s="1">
        <v>288</v>
      </c>
    </row>
    <row r="73" spans="2:19" x14ac:dyDescent="0.25">
      <c r="B73" s="2" t="s">
        <v>109</v>
      </c>
      <c r="D73" s="1"/>
      <c r="F73" s="1"/>
      <c r="I73" s="27"/>
      <c r="J73" s="27"/>
      <c r="K73" s="27"/>
      <c r="L73" s="27"/>
      <c r="M73" s="36"/>
      <c r="O73" s="35">
        <v>250</v>
      </c>
    </row>
    <row r="74" spans="2:19" x14ac:dyDescent="0.25">
      <c r="B74" s="2" t="s">
        <v>25</v>
      </c>
      <c r="C74" s="2">
        <v>80</v>
      </c>
      <c r="D74" s="1"/>
      <c r="F74" s="1">
        <v>150</v>
      </c>
      <c r="I74" s="30">
        <v>150</v>
      </c>
      <c r="J74" s="30">
        <v>150</v>
      </c>
      <c r="K74" s="27"/>
      <c r="L74" s="30">
        <v>150</v>
      </c>
      <c r="M74" s="45">
        <f>185+68</f>
        <v>253</v>
      </c>
      <c r="O74" s="59">
        <v>300</v>
      </c>
      <c r="P74" s="26"/>
    </row>
    <row r="75" spans="2:19" x14ac:dyDescent="0.25">
      <c r="C75" s="5"/>
      <c r="D75" s="1">
        <f>SUM(C59:C74)</f>
        <v>2028.65</v>
      </c>
      <c r="F75" s="5"/>
      <c r="G75" s="1">
        <f>SUM(F59:F74)</f>
        <v>2300</v>
      </c>
      <c r="I75" s="4">
        <f>SUM(I59:I74)</f>
        <v>3875.56</v>
      </c>
      <c r="J75" s="4">
        <f>SUM(J59:J74)</f>
        <v>6226.78</v>
      </c>
      <c r="K75" s="4"/>
      <c r="L75" s="4">
        <f>SUM(L59:L74)</f>
        <v>6226.78</v>
      </c>
      <c r="M75" s="4">
        <f>SUM(M59:M74)</f>
        <v>11624.45</v>
      </c>
      <c r="O75" s="50">
        <f>SUM(O59:O74)</f>
        <v>13100</v>
      </c>
    </row>
    <row r="76" spans="2:19" x14ac:dyDescent="0.25">
      <c r="D76" s="1"/>
      <c r="F76" s="1"/>
    </row>
    <row r="77" spans="2:19" x14ac:dyDescent="0.25">
      <c r="B77" s="15" t="s">
        <v>10</v>
      </c>
      <c r="C77" s="15"/>
      <c r="D77" s="1"/>
      <c r="E77" s="15"/>
      <c r="F77" s="1"/>
      <c r="H77" s="15"/>
      <c r="R77" s="1" t="s">
        <v>121</v>
      </c>
      <c r="S77" s="1">
        <v>1500</v>
      </c>
    </row>
    <row r="78" spans="2:19" x14ac:dyDescent="0.25">
      <c r="B78" s="2" t="s">
        <v>24</v>
      </c>
      <c r="C78" s="2">
        <f>41750-2550</f>
        <v>39200</v>
      </c>
      <c r="D78" s="1"/>
      <c r="F78" s="1">
        <f>+O81</f>
        <v>0</v>
      </c>
      <c r="I78" s="1">
        <f>O83</f>
        <v>0</v>
      </c>
      <c r="J78" s="1">
        <f>O83</f>
        <v>0</v>
      </c>
      <c r="L78" s="1">
        <f>O83</f>
        <v>0</v>
      </c>
      <c r="M78" s="61">
        <f>22300</f>
        <v>22300</v>
      </c>
      <c r="N78" s="2" t="s">
        <v>98</v>
      </c>
      <c r="O78" s="1">
        <v>50000</v>
      </c>
      <c r="P78" s="61">
        <f>S81</f>
        <v>44000</v>
      </c>
      <c r="Q78" s="69">
        <v>6000</v>
      </c>
      <c r="R78" s="66" t="s">
        <v>116</v>
      </c>
      <c r="S78" s="67">
        <v>22500</v>
      </c>
    </row>
    <row r="79" spans="2:19" x14ac:dyDescent="0.25">
      <c r="B79" s="2" t="s">
        <v>13</v>
      </c>
      <c r="C79" s="2">
        <v>2550</v>
      </c>
      <c r="D79" s="1"/>
      <c r="F79" s="1">
        <v>3000</v>
      </c>
      <c r="I79" s="1">
        <v>3000</v>
      </c>
      <c r="J79" s="1">
        <v>3000</v>
      </c>
      <c r="L79" s="1">
        <f>18*150</f>
        <v>2700</v>
      </c>
      <c r="M79" s="1">
        <v>2700</v>
      </c>
      <c r="N79" s="2" t="s">
        <v>99</v>
      </c>
      <c r="O79" s="1">
        <v>3000</v>
      </c>
      <c r="P79" s="1">
        <f>20*150</f>
        <v>3000</v>
      </c>
      <c r="R79" s="1" t="s">
        <v>117</v>
      </c>
      <c r="S79" s="1">
        <v>15000</v>
      </c>
    </row>
    <row r="80" spans="2:19" x14ac:dyDescent="0.25">
      <c r="B80" s="2" t="s">
        <v>68</v>
      </c>
      <c r="C80" s="2">
        <v>450</v>
      </c>
      <c r="D80" s="1"/>
      <c r="F80" s="1">
        <v>500</v>
      </c>
      <c r="I80" s="27">
        <v>500</v>
      </c>
      <c r="J80" s="27">
        <v>500</v>
      </c>
      <c r="K80" s="27"/>
      <c r="L80" s="27">
        <v>500</v>
      </c>
      <c r="M80" s="36">
        <f>475.58+676.24</f>
        <v>1151.82</v>
      </c>
      <c r="N80" s="2" t="s">
        <v>100</v>
      </c>
      <c r="O80" s="1">
        <v>1250</v>
      </c>
      <c r="R80" s="1" t="s">
        <v>118</v>
      </c>
      <c r="S80" s="1">
        <v>5000</v>
      </c>
    </row>
    <row r="81" spans="2:19" x14ac:dyDescent="0.25">
      <c r="B81" s="2" t="s">
        <v>0</v>
      </c>
      <c r="C81" s="2">
        <v>0</v>
      </c>
      <c r="D81" s="1"/>
      <c r="F81" s="1">
        <v>1000</v>
      </c>
      <c r="I81" s="30">
        <v>1000</v>
      </c>
      <c r="J81" s="30">
        <v>1000</v>
      </c>
      <c r="K81" s="27"/>
      <c r="L81" s="30">
        <v>1000</v>
      </c>
      <c r="M81" s="45">
        <v>0</v>
      </c>
      <c r="N81" s="2" t="s">
        <v>101</v>
      </c>
      <c r="O81" s="26"/>
      <c r="P81" s="26">
        <v>0</v>
      </c>
      <c r="R81" s="68" t="s">
        <v>119</v>
      </c>
      <c r="S81" s="68">
        <f>SUM(S77:S80)</f>
        <v>44000</v>
      </c>
    </row>
    <row r="82" spans="2:19" x14ac:dyDescent="0.25">
      <c r="C82" s="5"/>
      <c r="D82" s="1">
        <f>SUM(C78:C81)</f>
        <v>42200</v>
      </c>
      <c r="F82" s="5"/>
      <c r="G82" s="1">
        <f>SUM(F78:F81)</f>
        <v>4500</v>
      </c>
      <c r="I82" s="31">
        <f>SUM(I78:I81)</f>
        <v>4500</v>
      </c>
      <c r="J82" s="31">
        <f>SUM(J78:J81)</f>
        <v>4500</v>
      </c>
      <c r="K82" s="31"/>
      <c r="L82" s="31">
        <f>SUM(L78:L81)</f>
        <v>4200</v>
      </c>
      <c r="M82" s="46">
        <f>SUM(M78:M81)</f>
        <v>26151.82</v>
      </c>
      <c r="N82" s="2" t="s">
        <v>102</v>
      </c>
      <c r="O82" s="4">
        <f>SUM(O78:O81)</f>
        <v>54250</v>
      </c>
    </row>
    <row r="83" spans="2:19" x14ac:dyDescent="0.25">
      <c r="D83" s="1"/>
      <c r="F83" s="1"/>
      <c r="N83" s="8"/>
      <c r="O83" s="4"/>
    </row>
    <row r="84" spans="2:19" x14ac:dyDescent="0.25">
      <c r="B84" s="1"/>
      <c r="D84" s="1"/>
      <c r="E84" s="1"/>
      <c r="F84" s="1"/>
      <c r="H84" s="1"/>
    </row>
    <row r="85" spans="2:19" x14ac:dyDescent="0.25">
      <c r="B85" s="14" t="s">
        <v>75</v>
      </c>
      <c r="D85" s="2">
        <v>54101.14</v>
      </c>
      <c r="E85" s="14"/>
      <c r="F85" s="1"/>
      <c r="G85" s="1">
        <v>49000</v>
      </c>
      <c r="H85" s="14"/>
      <c r="I85" s="31">
        <v>58900</v>
      </c>
      <c r="J85" s="31">
        <v>58900</v>
      </c>
      <c r="K85" s="31"/>
      <c r="L85" s="31">
        <v>58900</v>
      </c>
      <c r="M85" s="46">
        <f>62697-3730</f>
        <v>58967</v>
      </c>
      <c r="O85" s="70">
        <v>65000</v>
      </c>
    </row>
    <row r="86" spans="2:19" x14ac:dyDescent="0.25">
      <c r="B86" s="14" t="s">
        <v>122</v>
      </c>
      <c r="E86" s="3"/>
      <c r="F86" s="1"/>
      <c r="H86" s="3"/>
      <c r="O86" s="50">
        <v>5800</v>
      </c>
    </row>
    <row r="87" spans="2:19" x14ac:dyDescent="0.25">
      <c r="B87" s="14" t="s">
        <v>30</v>
      </c>
      <c r="D87" s="2">
        <v>6165.39</v>
      </c>
      <c r="E87" s="14"/>
      <c r="F87" s="1"/>
      <c r="G87" s="1">
        <v>7000</v>
      </c>
      <c r="H87" s="14"/>
      <c r="I87" s="32">
        <v>6830.81</v>
      </c>
      <c r="J87" s="32">
        <v>6830.81</v>
      </c>
      <c r="K87" s="32"/>
      <c r="L87" s="32">
        <v>6830.81</v>
      </c>
      <c r="M87" s="32">
        <v>6985.93</v>
      </c>
      <c r="O87" s="50">
        <v>7250</v>
      </c>
    </row>
    <row r="88" spans="2:19" x14ac:dyDescent="0.25">
      <c r="B88" s="14" t="s">
        <v>123</v>
      </c>
      <c r="E88" s="14"/>
      <c r="F88" s="1"/>
      <c r="H88" s="14"/>
      <c r="I88" s="32"/>
      <c r="J88" s="32"/>
      <c r="K88" s="32"/>
      <c r="L88" s="32"/>
      <c r="M88" s="32"/>
      <c r="O88" s="50">
        <v>1000</v>
      </c>
    </row>
    <row r="89" spans="2:19" x14ac:dyDescent="0.25">
      <c r="B89" s="14" t="s">
        <v>74</v>
      </c>
      <c r="E89" s="14"/>
      <c r="F89" s="1"/>
      <c r="H89" s="14"/>
      <c r="I89" s="32"/>
      <c r="J89" s="32"/>
      <c r="K89" s="32"/>
      <c r="L89" s="44">
        <v>2000</v>
      </c>
      <c r="M89" s="32">
        <v>2372.4499999999998</v>
      </c>
      <c r="O89" s="50">
        <v>2500</v>
      </c>
    </row>
    <row r="90" spans="2:19" x14ac:dyDescent="0.25">
      <c r="B90" s="3"/>
      <c r="D90" s="1"/>
      <c r="E90" s="3"/>
      <c r="F90" s="1"/>
      <c r="H90" s="3"/>
      <c r="I90" s="26"/>
      <c r="J90" s="26"/>
      <c r="L90" s="26"/>
      <c r="M90" s="26"/>
      <c r="P90" s="26"/>
    </row>
    <row r="91" spans="2:19" x14ac:dyDescent="0.25">
      <c r="B91" s="4" t="s">
        <v>17</v>
      </c>
      <c r="C91" s="8"/>
      <c r="D91" s="7">
        <f>SUM(D48:D87)</f>
        <v>114567.76</v>
      </c>
      <c r="E91" s="4"/>
      <c r="G91" s="7">
        <f>SUM(G48:G87)</f>
        <v>73800</v>
      </c>
      <c r="H91" s="4"/>
      <c r="I91" s="7">
        <f>I87+I85+I82+I75+I56</f>
        <v>85106.37</v>
      </c>
      <c r="J91" s="7">
        <f>J87+J85+J82+J75+J56</f>
        <v>87457.59</v>
      </c>
      <c r="K91" s="4"/>
      <c r="L91" s="7">
        <f>L87+L85+L82+L75+L56+L89</f>
        <v>89157.59</v>
      </c>
      <c r="M91" s="7">
        <f>M87+M85+M82+M75+M56+M89</f>
        <v>116582.39</v>
      </c>
      <c r="O91" s="7">
        <f>O87+O85+O82+O75+O56+O89+O86+O88</f>
        <v>160600</v>
      </c>
      <c r="P91" s="25"/>
    </row>
    <row r="92" spans="2:19" x14ac:dyDescent="0.25">
      <c r="D92" s="1"/>
      <c r="I92" s="25"/>
      <c r="J92" s="25"/>
      <c r="L92" s="25"/>
      <c r="M92" s="25"/>
    </row>
    <row r="93" spans="2:19" ht="30.75" thickBot="1" x14ac:dyDescent="0.3">
      <c r="B93" s="12" t="s">
        <v>58</v>
      </c>
      <c r="C93" s="8"/>
      <c r="D93" s="4">
        <f>+D46-D91</f>
        <v>-13435.199999999983</v>
      </c>
      <c r="E93" s="12"/>
      <c r="G93" s="6" t="e">
        <f>+#REF!+G46-G91</f>
        <v>#REF!</v>
      </c>
      <c r="H93" s="12"/>
      <c r="I93" s="34">
        <f>I48-I91</f>
        <v>41778.44</v>
      </c>
      <c r="J93" s="31">
        <f>J48-J91</f>
        <v>56909.66</v>
      </c>
      <c r="K93" s="31"/>
      <c r="L93" s="31">
        <f>L48-L91</f>
        <v>54827.649999999994</v>
      </c>
      <c r="M93" s="46">
        <f>M48-M91</f>
        <v>14301.910000000003</v>
      </c>
      <c r="N93" s="54" t="s">
        <v>73</v>
      </c>
      <c r="O93" s="46">
        <f>O48-O91</f>
        <v>-3075</v>
      </c>
    </row>
    <row r="94" spans="2:19" ht="15.75" thickTop="1" x14ac:dyDescent="0.25">
      <c r="B94" s="2" t="s">
        <v>38</v>
      </c>
      <c r="D94" s="1"/>
      <c r="F94" s="8"/>
      <c r="I94" s="26">
        <v>12315.22</v>
      </c>
      <c r="J94" s="1">
        <v>12315.22</v>
      </c>
      <c r="L94" s="1">
        <v>12315.22</v>
      </c>
      <c r="M94" s="1">
        <v>12315.22</v>
      </c>
      <c r="O94" s="35">
        <f>O3</f>
        <v>39161.61</v>
      </c>
    </row>
    <row r="95" spans="2:19" x14ac:dyDescent="0.25">
      <c r="B95" s="2" t="s">
        <v>57</v>
      </c>
      <c r="D95" s="1"/>
      <c r="E95" s="1"/>
      <c r="F95" s="1"/>
      <c r="H95" s="1"/>
      <c r="M95" s="1">
        <v>10000</v>
      </c>
    </row>
    <row r="96" spans="2:19" x14ac:dyDescent="0.25">
      <c r="D96" s="1"/>
      <c r="E96" s="1"/>
      <c r="F96" s="1"/>
      <c r="H96" s="1"/>
    </row>
    <row r="97" spans="2:15" x14ac:dyDescent="0.25">
      <c r="B97" s="8" t="s">
        <v>87</v>
      </c>
      <c r="D97" s="1"/>
      <c r="E97" s="1"/>
      <c r="F97" s="1"/>
      <c r="H97" s="1"/>
      <c r="M97" s="47">
        <f>SUM(M93:M95)</f>
        <v>36617.130000000005</v>
      </c>
      <c r="O97" s="47">
        <f>SUM(O93:O95)</f>
        <v>36086.61</v>
      </c>
    </row>
    <row r="98" spans="2:15" x14ac:dyDescent="0.25">
      <c r="D98" s="1"/>
      <c r="E98" s="1"/>
      <c r="F98" s="1"/>
      <c r="H98" s="1"/>
    </row>
    <row r="99" spans="2:15" x14ac:dyDescent="0.25">
      <c r="D99" s="1" t="s">
        <v>11</v>
      </c>
      <c r="E99" s="1"/>
      <c r="F99" s="1"/>
      <c r="H99" s="1"/>
    </row>
    <row r="100" spans="2:15" x14ac:dyDescent="0.25">
      <c r="D100" s="1"/>
    </row>
    <row r="101" spans="2:15" x14ac:dyDescent="0.25">
      <c r="D101" s="1"/>
    </row>
    <row r="102" spans="2:15" x14ac:dyDescent="0.25">
      <c r="D102" s="1"/>
    </row>
    <row r="103" spans="2:15" x14ac:dyDescent="0.25">
      <c r="D103" s="1"/>
    </row>
    <row r="104" spans="2:15" x14ac:dyDescent="0.25">
      <c r="D104" s="1"/>
    </row>
    <row r="105" spans="2:15" x14ac:dyDescent="0.25">
      <c r="D105" s="1"/>
    </row>
    <row r="106" spans="2:15" x14ac:dyDescent="0.25">
      <c r="D106" s="1"/>
    </row>
    <row r="107" spans="2:15" x14ac:dyDescent="0.25">
      <c r="D107" s="1"/>
    </row>
    <row r="108" spans="2:15" x14ac:dyDescent="0.25">
      <c r="D108" s="1"/>
    </row>
    <row r="109" spans="2:15" x14ac:dyDescent="0.25">
      <c r="D109" s="1"/>
    </row>
    <row r="110" spans="2:15" x14ac:dyDescent="0.25">
      <c r="D110" s="1"/>
    </row>
    <row r="111" spans="2:15" x14ac:dyDescent="0.25">
      <c r="D111" s="1"/>
    </row>
    <row r="112" spans="2:15" x14ac:dyDescent="0.25">
      <c r="D112" s="1"/>
    </row>
    <row r="113" spans="4:4" x14ac:dyDescent="0.25">
      <c r="D113" s="1"/>
    </row>
    <row r="114" spans="4:4" x14ac:dyDescent="0.25">
      <c r="D114" s="1"/>
    </row>
    <row r="115" spans="4:4" x14ac:dyDescent="0.25">
      <c r="D115" s="1"/>
    </row>
    <row r="116" spans="4:4" x14ac:dyDescent="0.25">
      <c r="D116" s="1"/>
    </row>
    <row r="117" spans="4:4" x14ac:dyDescent="0.25">
      <c r="D117" s="1"/>
    </row>
    <row r="118" spans="4:4" x14ac:dyDescent="0.25">
      <c r="D118" s="1"/>
    </row>
    <row r="119" spans="4:4" x14ac:dyDescent="0.25">
      <c r="D119" s="1"/>
    </row>
    <row r="120" spans="4:4" x14ac:dyDescent="0.25">
      <c r="D120" s="1"/>
    </row>
    <row r="121" spans="4:4" x14ac:dyDescent="0.25">
      <c r="D121" s="1"/>
    </row>
    <row r="122" spans="4:4" x14ac:dyDescent="0.25">
      <c r="D122" s="1"/>
    </row>
    <row r="123" spans="4:4" x14ac:dyDescent="0.25">
      <c r="D123" s="1"/>
    </row>
    <row r="124" spans="4:4" x14ac:dyDescent="0.25">
      <c r="D124" s="1"/>
    </row>
    <row r="125" spans="4:4" x14ac:dyDescent="0.25">
      <c r="D125" s="1"/>
    </row>
    <row r="126" spans="4:4" x14ac:dyDescent="0.25">
      <c r="D126" s="1"/>
    </row>
    <row r="127" spans="4:4" x14ac:dyDescent="0.25">
      <c r="D127" s="1"/>
    </row>
    <row r="128" spans="4:4" x14ac:dyDescent="0.25">
      <c r="D128" s="1"/>
    </row>
    <row r="129" spans="4:4" x14ac:dyDescent="0.25">
      <c r="D129" s="1"/>
    </row>
    <row r="130" spans="4:4" x14ac:dyDescent="0.25">
      <c r="D130" s="1"/>
    </row>
    <row r="131" spans="4:4" x14ac:dyDescent="0.25">
      <c r="D131" s="1"/>
    </row>
    <row r="132" spans="4:4" x14ac:dyDescent="0.25">
      <c r="D132" s="1"/>
    </row>
    <row r="133" spans="4:4" x14ac:dyDescent="0.25">
      <c r="D133" s="1"/>
    </row>
    <row r="134" spans="4:4" x14ac:dyDescent="0.25">
      <c r="D134" s="1"/>
    </row>
    <row r="135" spans="4:4" x14ac:dyDescent="0.25">
      <c r="D135" s="1"/>
    </row>
    <row r="136" spans="4:4" x14ac:dyDescent="0.25">
      <c r="D136" s="1"/>
    </row>
    <row r="137" spans="4:4" x14ac:dyDescent="0.25">
      <c r="D137" s="1"/>
    </row>
    <row r="138" spans="4:4" x14ac:dyDescent="0.25">
      <c r="D138" s="1"/>
    </row>
    <row r="139" spans="4:4" x14ac:dyDescent="0.25">
      <c r="D139" s="1"/>
    </row>
    <row r="140" spans="4:4" x14ac:dyDescent="0.25">
      <c r="D140" s="1"/>
    </row>
    <row r="141" spans="4:4" x14ac:dyDescent="0.25">
      <c r="D141" s="1"/>
    </row>
    <row r="142" spans="4:4" x14ac:dyDescent="0.25">
      <c r="D142" s="1"/>
    </row>
    <row r="143" spans="4:4" x14ac:dyDescent="0.25">
      <c r="D143" s="1"/>
    </row>
    <row r="144" spans="4:4" x14ac:dyDescent="0.25">
      <c r="D144" s="1"/>
    </row>
    <row r="145" spans="4:4" x14ac:dyDescent="0.25">
      <c r="D145" s="1"/>
    </row>
    <row r="146" spans="4:4" x14ac:dyDescent="0.25">
      <c r="D146" s="1"/>
    </row>
    <row r="147" spans="4:4" x14ac:dyDescent="0.25">
      <c r="D147" s="1"/>
    </row>
    <row r="148" spans="4:4" x14ac:dyDescent="0.25">
      <c r="D148" s="1"/>
    </row>
    <row r="149" spans="4:4" x14ac:dyDescent="0.25">
      <c r="D149" s="1"/>
    </row>
    <row r="150" spans="4:4" x14ac:dyDescent="0.25">
      <c r="D150" s="1"/>
    </row>
    <row r="151" spans="4:4" x14ac:dyDescent="0.25">
      <c r="D151" s="1"/>
    </row>
    <row r="152" spans="4:4" x14ac:dyDescent="0.25">
      <c r="D152" s="1"/>
    </row>
    <row r="153" spans="4:4" x14ac:dyDescent="0.25">
      <c r="D153" s="1"/>
    </row>
    <row r="154" spans="4:4" x14ac:dyDescent="0.25">
      <c r="D154" s="1"/>
    </row>
    <row r="155" spans="4:4" x14ac:dyDescent="0.25">
      <c r="D155" s="1"/>
    </row>
    <row r="156" spans="4:4" x14ac:dyDescent="0.25">
      <c r="D156" s="1"/>
    </row>
    <row r="157" spans="4:4" x14ac:dyDescent="0.25">
      <c r="D157" s="1"/>
    </row>
    <row r="158" spans="4:4" x14ac:dyDescent="0.25">
      <c r="D158" s="1"/>
    </row>
    <row r="159" spans="4:4" x14ac:dyDescent="0.25">
      <c r="D159" s="1"/>
    </row>
    <row r="160" spans="4:4" x14ac:dyDescent="0.25">
      <c r="D160" s="1"/>
    </row>
    <row r="161" spans="4:4" x14ac:dyDescent="0.25">
      <c r="D161" s="1"/>
    </row>
    <row r="162" spans="4:4" x14ac:dyDescent="0.25">
      <c r="D162" s="1"/>
    </row>
    <row r="163" spans="4:4" x14ac:dyDescent="0.25">
      <c r="D163" s="1"/>
    </row>
    <row r="164" spans="4:4" x14ac:dyDescent="0.25">
      <c r="D164" s="1"/>
    </row>
    <row r="165" spans="4:4" x14ac:dyDescent="0.25">
      <c r="D165" s="1"/>
    </row>
    <row r="166" spans="4:4" x14ac:dyDescent="0.25">
      <c r="D166" s="1"/>
    </row>
    <row r="167" spans="4:4" x14ac:dyDescent="0.25">
      <c r="D167" s="1"/>
    </row>
    <row r="168" spans="4:4" x14ac:dyDescent="0.25">
      <c r="D168" s="1"/>
    </row>
    <row r="169" spans="4:4" x14ac:dyDescent="0.25">
      <c r="D169" s="1"/>
    </row>
    <row r="170" spans="4:4" x14ac:dyDescent="0.25">
      <c r="D170" s="1"/>
    </row>
    <row r="171" spans="4:4" x14ac:dyDescent="0.25">
      <c r="D171" s="1"/>
    </row>
    <row r="172" spans="4:4" x14ac:dyDescent="0.25">
      <c r="D172" s="1"/>
    </row>
    <row r="173" spans="4:4" x14ac:dyDescent="0.25">
      <c r="D173" s="1"/>
    </row>
    <row r="174" spans="4:4" x14ac:dyDescent="0.25">
      <c r="D174" s="1"/>
    </row>
    <row r="175" spans="4:4" x14ac:dyDescent="0.25">
      <c r="D175" s="1"/>
    </row>
    <row r="176" spans="4:4" x14ac:dyDescent="0.25">
      <c r="D176" s="1"/>
    </row>
    <row r="177" spans="4:4" x14ac:dyDescent="0.25">
      <c r="D177" s="1"/>
    </row>
    <row r="178" spans="4:4" x14ac:dyDescent="0.25">
      <c r="D178" s="1"/>
    </row>
    <row r="179" spans="4:4" x14ac:dyDescent="0.25">
      <c r="D179" s="1"/>
    </row>
    <row r="180" spans="4:4" x14ac:dyDescent="0.25">
      <c r="D180" s="1"/>
    </row>
    <row r="181" spans="4:4" x14ac:dyDescent="0.25">
      <c r="D181" s="1"/>
    </row>
    <row r="182" spans="4:4" x14ac:dyDescent="0.25">
      <c r="D182" s="1"/>
    </row>
    <row r="183" spans="4:4" x14ac:dyDescent="0.25">
      <c r="D183" s="1"/>
    </row>
    <row r="184" spans="4:4" x14ac:dyDescent="0.25">
      <c r="D184" s="1"/>
    </row>
    <row r="185" spans="4:4" x14ac:dyDescent="0.25">
      <c r="D185" s="1"/>
    </row>
    <row r="186" spans="4:4" x14ac:dyDescent="0.25">
      <c r="D186" s="1"/>
    </row>
    <row r="187" spans="4:4" x14ac:dyDescent="0.25">
      <c r="D187" s="1"/>
    </row>
    <row r="188" spans="4:4" x14ac:dyDescent="0.25">
      <c r="D188" s="1"/>
    </row>
    <row r="189" spans="4:4" x14ac:dyDescent="0.25">
      <c r="D189" s="1"/>
    </row>
    <row r="190" spans="4:4" x14ac:dyDescent="0.25">
      <c r="D190" s="1"/>
    </row>
    <row r="191" spans="4:4" x14ac:dyDescent="0.25">
      <c r="D191" s="1"/>
    </row>
    <row r="192" spans="4:4" x14ac:dyDescent="0.25">
      <c r="D192" s="1"/>
    </row>
    <row r="193" spans="4:4" x14ac:dyDescent="0.25">
      <c r="D193" s="1"/>
    </row>
    <row r="194" spans="4:4" x14ac:dyDescent="0.25">
      <c r="D194" s="1"/>
    </row>
    <row r="195" spans="4:4" x14ac:dyDescent="0.25">
      <c r="D195" s="1"/>
    </row>
    <row r="196" spans="4:4" x14ac:dyDescent="0.25">
      <c r="D196" s="1"/>
    </row>
    <row r="197" spans="4:4" x14ac:dyDescent="0.25">
      <c r="D197" s="1"/>
    </row>
    <row r="198" spans="4:4" x14ac:dyDescent="0.25">
      <c r="D198" s="1"/>
    </row>
    <row r="199" spans="4:4" x14ac:dyDescent="0.25">
      <c r="D199" s="1"/>
    </row>
    <row r="200" spans="4:4" x14ac:dyDescent="0.25">
      <c r="D200" s="1"/>
    </row>
    <row r="201" spans="4:4" x14ac:dyDescent="0.25">
      <c r="D201" s="1"/>
    </row>
    <row r="202" spans="4:4" x14ac:dyDescent="0.25">
      <c r="D202" s="1"/>
    </row>
    <row r="203" spans="4:4" x14ac:dyDescent="0.25">
      <c r="D203" s="1"/>
    </row>
    <row r="204" spans="4:4" x14ac:dyDescent="0.25">
      <c r="D204" s="1"/>
    </row>
    <row r="205" spans="4:4" x14ac:dyDescent="0.25">
      <c r="D205" s="1"/>
    </row>
    <row r="206" spans="4:4" x14ac:dyDescent="0.25">
      <c r="D206" s="1"/>
    </row>
    <row r="207" spans="4:4" x14ac:dyDescent="0.25">
      <c r="D207" s="1"/>
    </row>
    <row r="208" spans="4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  <row r="219" spans="4:4" x14ac:dyDescent="0.25">
      <c r="D219" s="1"/>
    </row>
    <row r="220" spans="4:4" x14ac:dyDescent="0.25">
      <c r="D220" s="1"/>
    </row>
    <row r="221" spans="4:4" x14ac:dyDescent="0.25">
      <c r="D221" s="1"/>
    </row>
    <row r="222" spans="4:4" x14ac:dyDescent="0.25">
      <c r="D222" s="1"/>
    </row>
    <row r="223" spans="4:4" x14ac:dyDescent="0.25">
      <c r="D223" s="1"/>
    </row>
    <row r="224" spans="4:4" x14ac:dyDescent="0.25">
      <c r="D224" s="1"/>
    </row>
    <row r="225" spans="4:4" x14ac:dyDescent="0.25">
      <c r="D225" s="1"/>
    </row>
    <row r="226" spans="4:4" x14ac:dyDescent="0.25">
      <c r="D226" s="1"/>
    </row>
    <row r="227" spans="4:4" x14ac:dyDescent="0.25">
      <c r="D227" s="1"/>
    </row>
    <row r="228" spans="4:4" x14ac:dyDescent="0.25">
      <c r="D228" s="1"/>
    </row>
    <row r="229" spans="4:4" x14ac:dyDescent="0.25">
      <c r="D229" s="1"/>
    </row>
    <row r="230" spans="4:4" x14ac:dyDescent="0.25">
      <c r="D230" s="1"/>
    </row>
    <row r="231" spans="4:4" x14ac:dyDescent="0.25">
      <c r="D231" s="1"/>
    </row>
    <row r="232" spans="4:4" x14ac:dyDescent="0.25">
      <c r="D232" s="1"/>
    </row>
    <row r="233" spans="4:4" x14ac:dyDescent="0.25">
      <c r="D233" s="1"/>
    </row>
    <row r="234" spans="4:4" x14ac:dyDescent="0.25">
      <c r="D234" s="1"/>
    </row>
    <row r="235" spans="4:4" x14ac:dyDescent="0.25">
      <c r="D235" s="1"/>
    </row>
    <row r="236" spans="4:4" x14ac:dyDescent="0.25">
      <c r="D236" s="1"/>
    </row>
    <row r="237" spans="4:4" x14ac:dyDescent="0.25">
      <c r="D237" s="1"/>
    </row>
    <row r="238" spans="4:4" x14ac:dyDescent="0.25">
      <c r="D238" s="1"/>
    </row>
    <row r="239" spans="4:4" x14ac:dyDescent="0.25">
      <c r="D239" s="1"/>
    </row>
    <row r="240" spans="4:4" x14ac:dyDescent="0.25">
      <c r="D240" s="1"/>
    </row>
    <row r="241" spans="4:4" x14ac:dyDescent="0.25">
      <c r="D241" s="1"/>
    </row>
    <row r="242" spans="4:4" x14ac:dyDescent="0.25">
      <c r="D242" s="1"/>
    </row>
    <row r="243" spans="4:4" x14ac:dyDescent="0.25">
      <c r="D243" s="1"/>
    </row>
    <row r="244" spans="4:4" x14ac:dyDescent="0.25">
      <c r="D244" s="1"/>
    </row>
    <row r="245" spans="4:4" x14ac:dyDescent="0.25">
      <c r="D245" s="1"/>
    </row>
    <row r="246" spans="4:4" x14ac:dyDescent="0.25">
      <c r="D246" s="1"/>
    </row>
    <row r="247" spans="4:4" x14ac:dyDescent="0.25">
      <c r="D247" s="1"/>
    </row>
    <row r="248" spans="4:4" x14ac:dyDescent="0.25">
      <c r="D248" s="1"/>
    </row>
    <row r="249" spans="4:4" x14ac:dyDescent="0.25">
      <c r="D249" s="1"/>
    </row>
    <row r="250" spans="4:4" x14ac:dyDescent="0.25">
      <c r="D250" s="1"/>
    </row>
    <row r="251" spans="4:4" x14ac:dyDescent="0.25">
      <c r="D251" s="1"/>
    </row>
    <row r="252" spans="4:4" x14ac:dyDescent="0.25">
      <c r="D252" s="1"/>
    </row>
    <row r="253" spans="4:4" x14ac:dyDescent="0.25">
      <c r="D253" s="1"/>
    </row>
    <row r="254" spans="4:4" x14ac:dyDescent="0.25">
      <c r="D254" s="1"/>
    </row>
    <row r="255" spans="4:4" x14ac:dyDescent="0.25">
      <c r="D255" s="1"/>
    </row>
    <row r="256" spans="4:4" x14ac:dyDescent="0.25">
      <c r="D256" s="1"/>
    </row>
    <row r="257" spans="4:4" x14ac:dyDescent="0.25">
      <c r="D257" s="1"/>
    </row>
    <row r="258" spans="4:4" x14ac:dyDescent="0.25">
      <c r="D258" s="1"/>
    </row>
    <row r="259" spans="4:4" x14ac:dyDescent="0.25">
      <c r="D259" s="1"/>
    </row>
    <row r="260" spans="4:4" x14ac:dyDescent="0.25">
      <c r="D260" s="1"/>
    </row>
    <row r="261" spans="4:4" x14ac:dyDescent="0.25">
      <c r="D261" s="1"/>
    </row>
    <row r="262" spans="4:4" x14ac:dyDescent="0.25">
      <c r="D262" s="1"/>
    </row>
    <row r="263" spans="4:4" x14ac:dyDescent="0.25">
      <c r="D263" s="1"/>
    </row>
    <row r="264" spans="4:4" x14ac:dyDescent="0.25">
      <c r="D264" s="1"/>
    </row>
    <row r="265" spans="4:4" x14ac:dyDescent="0.25">
      <c r="D265" s="1"/>
    </row>
    <row r="266" spans="4:4" x14ac:dyDescent="0.25">
      <c r="D266" s="1"/>
    </row>
    <row r="267" spans="4:4" x14ac:dyDescent="0.25">
      <c r="D267" s="1"/>
    </row>
    <row r="268" spans="4:4" x14ac:dyDescent="0.25">
      <c r="D268" s="1"/>
    </row>
    <row r="269" spans="4:4" x14ac:dyDescent="0.25">
      <c r="D269" s="1"/>
    </row>
    <row r="270" spans="4:4" x14ac:dyDescent="0.25">
      <c r="D270" s="1"/>
    </row>
    <row r="271" spans="4:4" x14ac:dyDescent="0.25">
      <c r="D271" s="1"/>
    </row>
    <row r="272" spans="4:4" x14ac:dyDescent="0.25">
      <c r="D272" s="1"/>
    </row>
    <row r="273" spans="4:4" x14ac:dyDescent="0.25">
      <c r="D273" s="1"/>
    </row>
    <row r="274" spans="4:4" x14ac:dyDescent="0.25">
      <c r="D274" s="1"/>
    </row>
    <row r="275" spans="4:4" x14ac:dyDescent="0.25">
      <c r="D275" s="1"/>
    </row>
    <row r="276" spans="4:4" x14ac:dyDescent="0.25">
      <c r="D276" s="1"/>
    </row>
    <row r="277" spans="4:4" x14ac:dyDescent="0.25">
      <c r="D277" s="1"/>
    </row>
    <row r="278" spans="4:4" x14ac:dyDescent="0.25">
      <c r="D278" s="1"/>
    </row>
    <row r="279" spans="4:4" x14ac:dyDescent="0.25">
      <c r="D279" s="1"/>
    </row>
    <row r="280" spans="4:4" x14ac:dyDescent="0.25">
      <c r="D280" s="1"/>
    </row>
    <row r="281" spans="4:4" x14ac:dyDescent="0.25">
      <c r="D281" s="1"/>
    </row>
    <row r="282" spans="4:4" x14ac:dyDescent="0.25">
      <c r="D282" s="1"/>
    </row>
    <row r="283" spans="4:4" x14ac:dyDescent="0.25">
      <c r="D283" s="1"/>
    </row>
    <row r="284" spans="4:4" x14ac:dyDescent="0.25">
      <c r="D284" s="1"/>
    </row>
    <row r="285" spans="4:4" x14ac:dyDescent="0.25">
      <c r="D285" s="1"/>
    </row>
    <row r="286" spans="4:4" x14ac:dyDescent="0.25">
      <c r="D286" s="1"/>
    </row>
    <row r="287" spans="4:4" x14ac:dyDescent="0.25">
      <c r="D287" s="1"/>
    </row>
    <row r="288" spans="4:4" x14ac:dyDescent="0.25">
      <c r="D288" s="1"/>
    </row>
    <row r="289" spans="4:4" x14ac:dyDescent="0.25">
      <c r="D289" s="1"/>
    </row>
    <row r="290" spans="4:4" x14ac:dyDescent="0.25">
      <c r="D290" s="1"/>
    </row>
    <row r="291" spans="4:4" x14ac:dyDescent="0.25">
      <c r="D291" s="1"/>
    </row>
    <row r="292" spans="4:4" x14ac:dyDescent="0.25">
      <c r="D292" s="1"/>
    </row>
    <row r="293" spans="4:4" x14ac:dyDescent="0.25">
      <c r="D293" s="1"/>
    </row>
    <row r="294" spans="4:4" x14ac:dyDescent="0.25">
      <c r="D294" s="1"/>
    </row>
    <row r="295" spans="4:4" x14ac:dyDescent="0.25">
      <c r="D295" s="1"/>
    </row>
    <row r="296" spans="4:4" x14ac:dyDescent="0.25">
      <c r="D296" s="1"/>
    </row>
    <row r="297" spans="4:4" x14ac:dyDescent="0.25">
      <c r="D297" s="1"/>
    </row>
    <row r="298" spans="4:4" x14ac:dyDescent="0.25">
      <c r="D298" s="1"/>
    </row>
    <row r="299" spans="4:4" x14ac:dyDescent="0.25">
      <c r="D299" s="1"/>
    </row>
    <row r="300" spans="4:4" x14ac:dyDescent="0.25">
      <c r="D300" s="1"/>
    </row>
    <row r="301" spans="4:4" x14ac:dyDescent="0.25">
      <c r="D301" s="1"/>
    </row>
    <row r="302" spans="4:4" x14ac:dyDescent="0.25">
      <c r="D302" s="1"/>
    </row>
    <row r="303" spans="4:4" x14ac:dyDescent="0.25">
      <c r="D303" s="1"/>
    </row>
    <row r="304" spans="4:4" x14ac:dyDescent="0.25">
      <c r="D304" s="1"/>
    </row>
    <row r="305" spans="4:4" x14ac:dyDescent="0.25">
      <c r="D305" s="1"/>
    </row>
    <row r="306" spans="4:4" x14ac:dyDescent="0.25">
      <c r="D306" s="1"/>
    </row>
    <row r="307" spans="4:4" x14ac:dyDescent="0.25">
      <c r="D307" s="1"/>
    </row>
    <row r="308" spans="4:4" x14ac:dyDescent="0.25">
      <c r="D308" s="1"/>
    </row>
    <row r="309" spans="4:4" x14ac:dyDescent="0.25">
      <c r="D309" s="1"/>
    </row>
    <row r="310" spans="4:4" x14ac:dyDescent="0.25">
      <c r="D310" s="1"/>
    </row>
    <row r="311" spans="4:4" x14ac:dyDescent="0.25">
      <c r="D311" s="1"/>
    </row>
    <row r="312" spans="4:4" x14ac:dyDescent="0.25">
      <c r="D312" s="1"/>
    </row>
    <row r="313" spans="4:4" x14ac:dyDescent="0.25">
      <c r="D313" s="1"/>
    </row>
    <row r="314" spans="4:4" x14ac:dyDescent="0.25">
      <c r="D314" s="1"/>
    </row>
    <row r="315" spans="4:4" x14ac:dyDescent="0.25">
      <c r="D315" s="1"/>
    </row>
    <row r="316" spans="4:4" x14ac:dyDescent="0.25">
      <c r="D316" s="1"/>
    </row>
    <row r="317" spans="4:4" x14ac:dyDescent="0.25">
      <c r="D317" s="1"/>
    </row>
    <row r="318" spans="4:4" x14ac:dyDescent="0.25">
      <c r="D318" s="1"/>
    </row>
    <row r="319" spans="4:4" x14ac:dyDescent="0.25">
      <c r="D319" s="1"/>
    </row>
    <row r="320" spans="4:4" x14ac:dyDescent="0.25">
      <c r="D320" s="1"/>
    </row>
    <row r="321" spans="4:4" x14ac:dyDescent="0.25">
      <c r="D321" s="1"/>
    </row>
    <row r="322" spans="4:4" x14ac:dyDescent="0.25">
      <c r="D322" s="1"/>
    </row>
    <row r="323" spans="4:4" x14ac:dyDescent="0.25">
      <c r="D323" s="1"/>
    </row>
    <row r="324" spans="4:4" x14ac:dyDescent="0.25">
      <c r="D324" s="1"/>
    </row>
    <row r="325" spans="4:4" x14ac:dyDescent="0.25">
      <c r="D325" s="1"/>
    </row>
    <row r="326" spans="4:4" x14ac:dyDescent="0.25">
      <c r="D326" s="1"/>
    </row>
    <row r="327" spans="4:4" x14ac:dyDescent="0.25">
      <c r="D327" s="1"/>
    </row>
    <row r="328" spans="4:4" x14ac:dyDescent="0.25">
      <c r="D328" s="1"/>
    </row>
    <row r="329" spans="4:4" x14ac:dyDescent="0.25">
      <c r="D329" s="1"/>
    </row>
    <row r="330" spans="4:4" x14ac:dyDescent="0.25">
      <c r="D330" s="1"/>
    </row>
    <row r="331" spans="4:4" x14ac:dyDescent="0.25">
      <c r="D331" s="1"/>
    </row>
    <row r="332" spans="4:4" x14ac:dyDescent="0.25">
      <c r="D332" s="1"/>
    </row>
    <row r="333" spans="4:4" x14ac:dyDescent="0.25">
      <c r="D333" s="1"/>
    </row>
    <row r="334" spans="4:4" x14ac:dyDescent="0.25">
      <c r="D334" s="1"/>
    </row>
    <row r="335" spans="4:4" x14ac:dyDescent="0.25">
      <c r="D335" s="1"/>
    </row>
    <row r="336" spans="4:4" x14ac:dyDescent="0.25">
      <c r="D336" s="1"/>
    </row>
    <row r="337" spans="4:4" x14ac:dyDescent="0.25">
      <c r="D337" s="1"/>
    </row>
    <row r="338" spans="4:4" x14ac:dyDescent="0.25">
      <c r="D338" s="1"/>
    </row>
  </sheetData>
  <printOptions gridLines="1"/>
  <pageMargins left="0.25" right="0.25" top="0.75" bottom="0.75" header="0.3" footer="0.3"/>
  <pageSetup scale="57" fitToHeight="0" orientation="landscape" r:id="rId1"/>
  <headerFooter>
    <oddHeader>&amp;C&amp;"-,Bold"Maplewoodstock 2023
Proposed Budget Ver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2024</vt:lpstr>
      <vt:lpstr>'FINAL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Kerns</dc:creator>
  <cp:lastModifiedBy>Bradley R. Goldman</cp:lastModifiedBy>
  <cp:lastPrinted>2025-04-10T20:32:39Z</cp:lastPrinted>
  <dcterms:created xsi:type="dcterms:W3CDTF">2018-10-10T15:23:00Z</dcterms:created>
  <dcterms:modified xsi:type="dcterms:W3CDTF">2025-04-10T20:32:44Z</dcterms:modified>
</cp:coreProperties>
</file>